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cenetworkassociation23-my.sharepoint.com/personal/gemma_dancenetworkassociation_co_uk/Documents/Desktop/"/>
    </mc:Choice>
  </mc:AlternateContent>
  <xr:revisionPtr revIDLastSave="0" documentId="8_{91E846D9-63A8-45E5-9EAD-3AFB41669B37}" xr6:coauthVersionLast="47" xr6:coauthVersionMax="47" xr10:uidLastSave="{00000000-0000-0000-0000-000000000000}"/>
  <bookViews>
    <workbookView xWindow="45" yWindow="-16320" windowWidth="29040" windowHeight="15720" xr2:uid="{00000000-000D-0000-FFFF-FFFF00000000}"/>
  </bookViews>
  <sheets>
    <sheet name="Financial Activities by Clas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63" i="1" l="1"/>
  <c r="AI62" i="1"/>
  <c r="AM29" i="1"/>
  <c r="AM58" i="1"/>
  <c r="AB7" i="1"/>
  <c r="W23" i="1"/>
  <c r="AC23" i="1"/>
  <c r="AC19" i="1"/>
  <c r="W19" i="1"/>
  <c r="AD35" i="1"/>
  <c r="V35" i="1"/>
  <c r="F36" i="1"/>
  <c r="V36" i="1"/>
  <c r="AD58" i="1"/>
  <c r="AD59" i="1"/>
  <c r="AD60" i="1"/>
  <c r="AC28" i="1"/>
  <c r="AC29" i="1"/>
  <c r="AC59" i="1"/>
  <c r="AC60" i="1"/>
  <c r="AI60" i="1"/>
  <c r="AI58" i="1"/>
  <c r="Z35" i="1"/>
  <c r="F45" i="1"/>
  <c r="W36" i="1"/>
  <c r="E35" i="1"/>
  <c r="J35" i="1"/>
  <c r="I35" i="1"/>
  <c r="I58" i="1"/>
  <c r="I59" i="1"/>
  <c r="I60" i="1"/>
  <c r="J58" i="1"/>
  <c r="J59" i="1"/>
  <c r="J60" i="1"/>
  <c r="M60" i="1"/>
  <c r="E58" i="1"/>
  <c r="F58" i="1"/>
  <c r="W58" i="1"/>
  <c r="W28" i="1"/>
  <c r="W29" i="1"/>
  <c r="W59" i="1"/>
  <c r="W60" i="1"/>
  <c r="V58" i="1"/>
  <c r="V28" i="1"/>
  <c r="V29" i="1"/>
  <c r="V59" i="1"/>
  <c r="V60" i="1"/>
  <c r="Y60" i="1"/>
  <c r="O58" i="1"/>
  <c r="O59" i="1"/>
  <c r="O60" i="1"/>
  <c r="P60" i="1"/>
  <c r="S58" i="1"/>
  <c r="S59" i="1"/>
  <c r="S60" i="1"/>
  <c r="T60" i="1"/>
  <c r="Z58" i="1"/>
  <c r="Z59" i="1"/>
  <c r="Z60" i="1"/>
  <c r="AE58" i="1"/>
  <c r="AE59" i="1"/>
  <c r="AE60" i="1"/>
  <c r="AC58" i="1"/>
  <c r="AC36" i="1"/>
  <c r="AC24" i="1"/>
  <c r="AF24" i="1"/>
  <c r="AF28" i="1"/>
  <c r="AC39" i="1"/>
  <c r="AI39" i="1"/>
  <c r="AC32" i="1"/>
  <c r="AI32" i="1"/>
  <c r="AC31" i="1"/>
  <c r="E36" i="1"/>
  <c r="G36" i="1"/>
  <c r="AI36" i="1"/>
  <c r="G35" i="1"/>
  <c r="X35" i="1"/>
  <c r="T7" i="1"/>
  <c r="T8" i="1"/>
  <c r="Y7" i="1"/>
  <c r="Y8" i="1"/>
  <c r="AI7" i="1"/>
  <c r="AI8" i="1"/>
  <c r="AL7" i="1"/>
  <c r="AL8" i="1"/>
  <c r="AE15" i="1"/>
  <c r="AK15" i="1"/>
  <c r="AD15" i="1"/>
  <c r="AF15" i="1"/>
  <c r="AG15" i="1"/>
  <c r="AH15" i="1"/>
  <c r="AC15" i="1"/>
  <c r="AA15" i="1"/>
  <c r="Z15" i="1"/>
  <c r="X15" i="1"/>
  <c r="W15" i="1"/>
  <c r="V15" i="1"/>
  <c r="S15" i="1"/>
  <c r="R15" i="1"/>
  <c r="P7" i="1"/>
  <c r="P8" i="1"/>
  <c r="P9" i="1"/>
  <c r="O15" i="1"/>
  <c r="M7" i="1"/>
  <c r="M8" i="1"/>
  <c r="J15" i="1"/>
  <c r="K15" i="1"/>
  <c r="L15" i="1"/>
  <c r="I15" i="1"/>
  <c r="G7" i="1"/>
  <c r="D15" i="1"/>
  <c r="E15" i="1"/>
  <c r="F15" i="1"/>
  <c r="C15" i="1"/>
  <c r="B15" i="1"/>
  <c r="H15" i="1"/>
  <c r="H29" i="1"/>
  <c r="H59" i="1"/>
  <c r="H60" i="1"/>
  <c r="H28" i="1"/>
  <c r="H58" i="1"/>
  <c r="AJ58" i="1"/>
  <c r="AH58" i="1"/>
  <c r="AG58" i="1"/>
  <c r="AF58" i="1"/>
  <c r="U58" i="1"/>
  <c r="Q58" i="1"/>
  <c r="N58" i="1"/>
  <c r="L58" i="1"/>
  <c r="D58" i="1"/>
  <c r="B58" i="1"/>
  <c r="AL57" i="1"/>
  <c r="AC57" i="1"/>
  <c r="AI57" i="1"/>
  <c r="Y57" i="1"/>
  <c r="T57" i="1"/>
  <c r="P57" i="1"/>
  <c r="M57" i="1"/>
  <c r="G57" i="1"/>
  <c r="AL56" i="1"/>
  <c r="AE56" i="1"/>
  <c r="AC56" i="1"/>
  <c r="W56" i="1"/>
  <c r="V56" i="1"/>
  <c r="T56" i="1"/>
  <c r="P56" i="1"/>
  <c r="I56" i="1"/>
  <c r="M56" i="1"/>
  <c r="F56" i="1"/>
  <c r="G56" i="1"/>
  <c r="AK55" i="1"/>
  <c r="AL55" i="1"/>
  <c r="AC55" i="1"/>
  <c r="AI55" i="1"/>
  <c r="AA55" i="1"/>
  <c r="Z55" i="1"/>
  <c r="W55" i="1"/>
  <c r="V55" i="1"/>
  <c r="T55" i="1"/>
  <c r="P55" i="1"/>
  <c r="K55" i="1"/>
  <c r="J55" i="1"/>
  <c r="I55" i="1"/>
  <c r="F55" i="1"/>
  <c r="E55" i="1"/>
  <c r="AL54" i="1"/>
  <c r="AC54" i="1"/>
  <c r="AI54" i="1"/>
  <c r="W54" i="1"/>
  <c r="Y54" i="1"/>
  <c r="T54" i="1"/>
  <c r="P54" i="1"/>
  <c r="M54" i="1"/>
  <c r="G54" i="1"/>
  <c r="AL53" i="1"/>
  <c r="AE53" i="1"/>
  <c r="AC53" i="1"/>
  <c r="V53" i="1"/>
  <c r="Y53" i="1"/>
  <c r="T53" i="1"/>
  <c r="P53" i="1"/>
  <c r="M53" i="1"/>
  <c r="G53" i="1"/>
  <c r="AL52" i="1"/>
  <c r="AC52" i="1"/>
  <c r="AI52" i="1"/>
  <c r="Z52" i="1"/>
  <c r="Y52" i="1"/>
  <c r="T52" i="1"/>
  <c r="P52" i="1"/>
  <c r="M52" i="1"/>
  <c r="E52" i="1"/>
  <c r="G52" i="1"/>
  <c r="AL51" i="1"/>
  <c r="AI51" i="1"/>
  <c r="Y51" i="1"/>
  <c r="T51" i="1"/>
  <c r="P51" i="1"/>
  <c r="M51" i="1"/>
  <c r="F51" i="1"/>
  <c r="G51" i="1"/>
  <c r="AL50" i="1"/>
  <c r="AC50" i="1"/>
  <c r="AI50" i="1"/>
  <c r="Y50" i="1"/>
  <c r="T50" i="1"/>
  <c r="P50" i="1"/>
  <c r="M50" i="1"/>
  <c r="G50" i="1"/>
  <c r="AK49" i="1"/>
  <c r="AI49" i="1"/>
  <c r="Y49" i="1"/>
  <c r="T49" i="1"/>
  <c r="P49" i="1"/>
  <c r="M49" i="1"/>
  <c r="G49" i="1"/>
  <c r="AL48" i="1"/>
  <c r="AC48" i="1"/>
  <c r="AI48" i="1"/>
  <c r="AA48" i="1"/>
  <c r="Z48" i="1"/>
  <c r="W48" i="1"/>
  <c r="V48" i="1"/>
  <c r="T48" i="1"/>
  <c r="P48" i="1"/>
  <c r="M48" i="1"/>
  <c r="F48" i="1"/>
  <c r="E48" i="1"/>
  <c r="AL47" i="1"/>
  <c r="AI47" i="1"/>
  <c r="AA47" i="1"/>
  <c r="Y47" i="1"/>
  <c r="T47" i="1"/>
  <c r="P47" i="1"/>
  <c r="M47" i="1"/>
  <c r="G47" i="1"/>
  <c r="AL46" i="1"/>
  <c r="AC46" i="1"/>
  <c r="AI46" i="1"/>
  <c r="V46" i="1"/>
  <c r="Y46" i="1"/>
  <c r="T46" i="1"/>
  <c r="P46" i="1"/>
  <c r="K46" i="1"/>
  <c r="M46" i="1"/>
  <c r="F46" i="1"/>
  <c r="G46" i="1"/>
  <c r="AL45" i="1"/>
  <c r="AC45" i="1"/>
  <c r="AI45" i="1"/>
  <c r="Y45" i="1"/>
  <c r="R45" i="1"/>
  <c r="J45" i="1"/>
  <c r="M45" i="1"/>
  <c r="G45" i="1"/>
  <c r="AL44" i="1"/>
  <c r="AC44" i="1"/>
  <c r="AI44" i="1"/>
  <c r="Y44" i="1"/>
  <c r="T44" i="1"/>
  <c r="P44" i="1"/>
  <c r="M44" i="1"/>
  <c r="G44" i="1"/>
  <c r="AL43" i="1"/>
  <c r="AC43" i="1"/>
  <c r="AI43" i="1"/>
  <c r="V43" i="1"/>
  <c r="Y43" i="1"/>
  <c r="T43" i="1"/>
  <c r="P43" i="1"/>
  <c r="M43" i="1"/>
  <c r="G43" i="1"/>
  <c r="AL42" i="1"/>
  <c r="AI42" i="1"/>
  <c r="X42" i="1"/>
  <c r="V42" i="1"/>
  <c r="T42" i="1"/>
  <c r="P42" i="1"/>
  <c r="M42" i="1"/>
  <c r="F42" i="1"/>
  <c r="G42" i="1"/>
  <c r="AL41" i="1"/>
  <c r="AI41" i="1"/>
  <c r="Z41" i="1"/>
  <c r="Y41" i="1"/>
  <c r="T41" i="1"/>
  <c r="P41" i="1"/>
  <c r="M41" i="1"/>
  <c r="G41" i="1"/>
  <c r="AL40" i="1"/>
  <c r="AC40" i="1"/>
  <c r="AI40" i="1"/>
  <c r="Z40" i="1"/>
  <c r="Y40" i="1"/>
  <c r="T40" i="1"/>
  <c r="P40" i="1"/>
  <c r="M40" i="1"/>
  <c r="G40" i="1"/>
  <c r="AL39" i="1"/>
  <c r="Y39" i="1"/>
  <c r="T39" i="1"/>
  <c r="P39" i="1"/>
  <c r="M39" i="1"/>
  <c r="G39" i="1"/>
  <c r="AL38" i="1"/>
  <c r="AC38" i="1"/>
  <c r="AI38" i="1"/>
  <c r="AA38" i="1"/>
  <c r="Y38" i="1"/>
  <c r="T38" i="1"/>
  <c r="P38" i="1"/>
  <c r="I38" i="1"/>
  <c r="M38" i="1"/>
  <c r="G38" i="1"/>
  <c r="AL37" i="1"/>
  <c r="AI37" i="1"/>
  <c r="Z37" i="1"/>
  <c r="Y37" i="1"/>
  <c r="T37" i="1"/>
  <c r="P37" i="1"/>
  <c r="M37" i="1"/>
  <c r="G37" i="1"/>
  <c r="AL36" i="1"/>
  <c r="AA36" i="1"/>
  <c r="Z36" i="1"/>
  <c r="T36" i="1"/>
  <c r="P36" i="1"/>
  <c r="M36" i="1"/>
  <c r="AL35" i="1"/>
  <c r="R35" i="1"/>
  <c r="T35" i="1"/>
  <c r="P35" i="1"/>
  <c r="K35" i="1"/>
  <c r="C35" i="1"/>
  <c r="C58" i="1"/>
  <c r="AL34" i="1"/>
  <c r="AC34" i="1"/>
  <c r="AI34" i="1"/>
  <c r="W34" i="1"/>
  <c r="Y34" i="1"/>
  <c r="T34" i="1"/>
  <c r="P34" i="1"/>
  <c r="M34" i="1"/>
  <c r="E34" i="1"/>
  <c r="G34" i="1"/>
  <c r="AL33" i="1"/>
  <c r="AE33" i="1"/>
  <c r="AC33" i="1"/>
  <c r="Z33" i="1"/>
  <c r="Y33" i="1"/>
  <c r="T33" i="1"/>
  <c r="P33" i="1"/>
  <c r="J33" i="1"/>
  <c r="I33" i="1"/>
  <c r="E33" i="1"/>
  <c r="AL32" i="1"/>
  <c r="W32" i="1"/>
  <c r="T32" i="1"/>
  <c r="P32" i="1"/>
  <c r="M32" i="1"/>
  <c r="G32" i="1"/>
  <c r="AL31" i="1"/>
  <c r="Y31" i="1"/>
  <c r="T31" i="1"/>
  <c r="P31" i="1"/>
  <c r="M31" i="1"/>
  <c r="G31" i="1"/>
  <c r="AJ28" i="1"/>
  <c r="AG28" i="1"/>
  <c r="AD28" i="1"/>
  <c r="X28" i="1"/>
  <c r="U28" i="1"/>
  <c r="S28" i="1"/>
  <c r="R28" i="1"/>
  <c r="Q28" i="1"/>
  <c r="O28" i="1"/>
  <c r="N28" i="1"/>
  <c r="D28" i="1"/>
  <c r="C28" i="1"/>
  <c r="B28" i="1"/>
  <c r="AL27" i="1"/>
  <c r="AI27" i="1"/>
  <c r="Y27" i="1"/>
  <c r="T27" i="1"/>
  <c r="P27" i="1"/>
  <c r="M27" i="1"/>
  <c r="E27" i="1"/>
  <c r="G27" i="1"/>
  <c r="AL26" i="1"/>
  <c r="AI26" i="1"/>
  <c r="Z26" i="1"/>
  <c r="Y26" i="1"/>
  <c r="T26" i="1"/>
  <c r="P26" i="1"/>
  <c r="M26" i="1"/>
  <c r="E26" i="1"/>
  <c r="G26" i="1"/>
  <c r="AL25" i="1"/>
  <c r="AI25" i="1"/>
  <c r="Y25" i="1"/>
  <c r="T25" i="1"/>
  <c r="P25" i="1"/>
  <c r="M25" i="1"/>
  <c r="F25" i="1"/>
  <c r="E25" i="1"/>
  <c r="AL24" i="1"/>
  <c r="W24" i="1"/>
  <c r="Y24" i="1"/>
  <c r="T24" i="1"/>
  <c r="P24" i="1"/>
  <c r="K24" i="1"/>
  <c r="I24" i="1"/>
  <c r="F24" i="1"/>
  <c r="G24" i="1"/>
  <c r="AL23" i="1"/>
  <c r="AE23" i="1"/>
  <c r="Y23" i="1"/>
  <c r="T23" i="1"/>
  <c r="P23" i="1"/>
  <c r="M23" i="1"/>
  <c r="F23" i="1"/>
  <c r="E23" i="1"/>
  <c r="AL22" i="1"/>
  <c r="AC22" i="1"/>
  <c r="AI22" i="1"/>
  <c r="V22" i="1"/>
  <c r="Y22" i="1"/>
  <c r="T22" i="1"/>
  <c r="P22" i="1"/>
  <c r="M22" i="1"/>
  <c r="G22" i="1"/>
  <c r="AL21" i="1"/>
  <c r="AI21" i="1"/>
  <c r="V21" i="1"/>
  <c r="Y21" i="1"/>
  <c r="T21" i="1"/>
  <c r="P21" i="1"/>
  <c r="M21" i="1"/>
  <c r="E21" i="1"/>
  <c r="G21" i="1"/>
  <c r="AL20" i="1"/>
  <c r="AI20" i="1"/>
  <c r="Y20" i="1"/>
  <c r="T20" i="1"/>
  <c r="P20" i="1"/>
  <c r="M20" i="1"/>
  <c r="G20" i="1"/>
  <c r="AB20" i="1" s="1"/>
  <c r="AM20" i="1" s="1"/>
  <c r="AK19" i="1"/>
  <c r="AK28" i="1"/>
  <c r="AH19" i="1"/>
  <c r="AH28" i="1"/>
  <c r="AE19" i="1"/>
  <c r="AA19" i="1"/>
  <c r="AA28" i="1"/>
  <c r="Z19" i="1"/>
  <c r="V19" i="1"/>
  <c r="T19" i="1"/>
  <c r="P19" i="1"/>
  <c r="L19" i="1"/>
  <c r="L28" i="1"/>
  <c r="K19" i="1"/>
  <c r="J19" i="1"/>
  <c r="J28" i="1"/>
  <c r="I19" i="1"/>
  <c r="F19" i="1"/>
  <c r="E19" i="1"/>
  <c r="AL18" i="1"/>
  <c r="AI18" i="1"/>
  <c r="Y18" i="1"/>
  <c r="T18" i="1"/>
  <c r="P18" i="1"/>
  <c r="M18" i="1"/>
  <c r="E18" i="1"/>
  <c r="G18" i="1"/>
  <c r="AL17" i="1"/>
  <c r="AI17" i="1"/>
  <c r="Z17" i="1"/>
  <c r="Y17" i="1"/>
  <c r="T17" i="1"/>
  <c r="P17" i="1"/>
  <c r="I17" i="1"/>
  <c r="M17" i="1"/>
  <c r="F17" i="1"/>
  <c r="AJ15" i="1"/>
  <c r="U15" i="1"/>
  <c r="Q15" i="1"/>
  <c r="N15" i="1"/>
  <c r="AK14" i="1"/>
  <c r="AH14" i="1"/>
  <c r="AG14" i="1"/>
  <c r="AF14" i="1"/>
  <c r="AE14" i="1"/>
  <c r="AD14" i="1"/>
  <c r="AC14" i="1"/>
  <c r="Y14" i="1"/>
  <c r="T14" i="1"/>
  <c r="P14" i="1"/>
  <c r="L14" i="1"/>
  <c r="AL13" i="1"/>
  <c r="AC13" i="1"/>
  <c r="AI13" i="1"/>
  <c r="Y13" i="1"/>
  <c r="T13" i="1"/>
  <c r="P13" i="1"/>
  <c r="M13" i="1"/>
  <c r="E13" i="1"/>
  <c r="AL12" i="1"/>
  <c r="AC12" i="1"/>
  <c r="AI12" i="1"/>
  <c r="Y12" i="1"/>
  <c r="T12" i="1"/>
  <c r="P12" i="1"/>
  <c r="M12" i="1"/>
  <c r="G12" i="1"/>
  <c r="AL11" i="1"/>
  <c r="AI11" i="1"/>
  <c r="AA11" i="1"/>
  <c r="Y11" i="1"/>
  <c r="T11" i="1"/>
  <c r="P11" i="1"/>
  <c r="M11" i="1"/>
  <c r="G11" i="1"/>
  <c r="AL10" i="1"/>
  <c r="AI10" i="1"/>
  <c r="Z10" i="1"/>
  <c r="X10" i="1"/>
  <c r="W10" i="1"/>
  <c r="V10" i="1"/>
  <c r="T10" i="1"/>
  <c r="P10" i="1"/>
  <c r="K10" i="1"/>
  <c r="J10" i="1"/>
  <c r="I10" i="1"/>
  <c r="G10" i="1"/>
  <c r="AB10" i="1" s="1"/>
  <c r="AM10" i="1" s="1"/>
  <c r="AL9" i="1"/>
  <c r="AC9" i="1"/>
  <c r="Y9" i="1"/>
  <c r="T9" i="1"/>
  <c r="M9" i="1"/>
  <c r="F9" i="1"/>
  <c r="AM7" i="1"/>
  <c r="AB8" i="1"/>
  <c r="AM8" i="1"/>
  <c r="AA29" i="1"/>
  <c r="P28" i="1"/>
  <c r="G55" i="1"/>
  <c r="U29" i="1"/>
  <c r="O29" i="1"/>
  <c r="C29" i="1"/>
  <c r="C59" i="1"/>
  <c r="C60" i="1"/>
  <c r="AI24" i="1"/>
  <c r="AK29" i="1"/>
  <c r="S29" i="1"/>
  <c r="AG29" i="1"/>
  <c r="AG59" i="1"/>
  <c r="AG60" i="1"/>
  <c r="AB47" i="1"/>
  <c r="AM47" i="1"/>
  <c r="G48" i="1"/>
  <c r="P58" i="1"/>
  <c r="L29" i="1"/>
  <c r="L59" i="1"/>
  <c r="L60" i="1"/>
  <c r="G23" i="1"/>
  <c r="AB23" i="1"/>
  <c r="Z28" i="1"/>
  <c r="X29" i="1"/>
  <c r="D29" i="1"/>
  <c r="D59" i="1"/>
  <c r="AB27" i="1"/>
  <c r="AM27" i="1"/>
  <c r="G13" i="1"/>
  <c r="AB13" i="1"/>
  <c r="AM13" i="1"/>
  <c r="G14" i="1"/>
  <c r="AB14" i="1" s="1"/>
  <c r="AM14" i="1" s="1"/>
  <c r="K28" i="1"/>
  <c r="K29" i="1"/>
  <c r="AI23" i="1"/>
  <c r="AK58" i="1"/>
  <c r="M55" i="1"/>
  <c r="AB12" i="1"/>
  <c r="AF29" i="1"/>
  <c r="AF59" i="1"/>
  <c r="AF60" i="1"/>
  <c r="P15" i="1"/>
  <c r="AL15" i="1"/>
  <c r="AB22" i="1"/>
  <c r="AM22" i="1"/>
  <c r="T28" i="1"/>
  <c r="AI33" i="1"/>
  <c r="AB54" i="1"/>
  <c r="AM54" i="1"/>
  <c r="AI56" i="1"/>
  <c r="R58" i="1"/>
  <c r="AI15" i="1"/>
  <c r="G19" i="1"/>
  <c r="M33" i="1"/>
  <c r="X58" i="1"/>
  <c r="AB39" i="1"/>
  <c r="R29" i="1"/>
  <c r="AB37" i="1"/>
  <c r="AM37" i="1"/>
  <c r="AI53" i="1"/>
  <c r="Y42" i="1"/>
  <c r="AB42" i="1"/>
  <c r="AM42" i="1"/>
  <c r="Y55" i="1"/>
  <c r="AB34" i="1"/>
  <c r="AM34" i="1"/>
  <c r="AB41" i="1"/>
  <c r="AM41" i="1"/>
  <c r="AB57" i="1"/>
  <c r="AM57" i="1"/>
  <c r="AI9" i="1"/>
  <c r="F28" i="1"/>
  <c r="E28" i="1"/>
  <c r="N29" i="1"/>
  <c r="Y35" i="1"/>
  <c r="Y48" i="1"/>
  <c r="AB50" i="1"/>
  <c r="AM50" i="1"/>
  <c r="G9" i="1"/>
  <c r="AB9" i="1"/>
  <c r="AA58" i="1"/>
  <c r="AA59" i="1"/>
  <c r="AA60" i="1"/>
  <c r="M10" i="1"/>
  <c r="AL14" i="1"/>
  <c r="M19" i="1"/>
  <c r="AB49" i="1"/>
  <c r="Y56" i="1"/>
  <c r="AB56" i="1"/>
  <c r="AB21" i="1"/>
  <c r="AM21" i="1"/>
  <c r="AI14" i="1"/>
  <c r="AJ29" i="1"/>
  <c r="AJ59" i="1"/>
  <c r="K58" i="1"/>
  <c r="AB44" i="1"/>
  <c r="AM44" i="1"/>
  <c r="T45" i="1"/>
  <c r="AB26" i="1"/>
  <c r="AM26" i="1"/>
  <c r="AD29" i="1"/>
  <c r="AB51" i="1"/>
  <c r="AM51" i="1"/>
  <c r="AB11" i="1"/>
  <c r="AM11" i="1"/>
  <c r="AE28" i="1"/>
  <c r="AE29" i="1"/>
  <c r="M24" i="1"/>
  <c r="AB24" i="1"/>
  <c r="G25" i="1"/>
  <c r="AB25" i="1"/>
  <c r="AM25" i="1"/>
  <c r="Y10" i="1"/>
  <c r="M35" i="1"/>
  <c r="B29" i="1"/>
  <c r="Q29" i="1"/>
  <c r="T15" i="1"/>
  <c r="Y19" i="1"/>
  <c r="I28" i="1"/>
  <c r="I29" i="1"/>
  <c r="AI19" i="1"/>
  <c r="AB40" i="1"/>
  <c r="AM40" i="1"/>
  <c r="AB43" i="1"/>
  <c r="AM43" i="1"/>
  <c r="Z29" i="1"/>
  <c r="AB18" i="1"/>
  <c r="AM18" i="1"/>
  <c r="AM12" i="1"/>
  <c r="G17" i="1"/>
  <c r="AB17" i="1"/>
  <c r="AM17" i="1"/>
  <c r="J29" i="1"/>
  <c r="M15" i="1"/>
  <c r="AH29" i="1"/>
  <c r="AH59" i="1"/>
  <c r="AH60" i="1"/>
  <c r="AL28" i="1"/>
  <c r="AB31" i="1"/>
  <c r="AM39" i="1"/>
  <c r="AB52" i="1"/>
  <c r="AM52" i="1"/>
  <c r="AB38" i="1"/>
  <c r="AM38" i="1"/>
  <c r="AB46" i="1"/>
  <c r="AM46" i="1"/>
  <c r="AB53" i="1"/>
  <c r="M14" i="1"/>
  <c r="AL19" i="1"/>
  <c r="G33" i="1"/>
  <c r="AB33" i="1"/>
  <c r="P45" i="1"/>
  <c r="AI31" i="1"/>
  <c r="Y32" i="1"/>
  <c r="AB32" i="1"/>
  <c r="AM32" i="1"/>
  <c r="AI35" i="1"/>
  <c r="AL49" i="1"/>
  <c r="U59" i="1"/>
  <c r="Y36" i="1"/>
  <c r="AB36" i="1"/>
  <c r="AM36" i="1"/>
  <c r="P29" i="1"/>
  <c r="AM23" i="1"/>
  <c r="AM24" i="1"/>
  <c r="AB55" i="1"/>
  <c r="AM55" i="1"/>
  <c r="X59" i="1"/>
  <c r="X60" i="1"/>
  <c r="AK59" i="1"/>
  <c r="AK60" i="1"/>
  <c r="AM56" i="1"/>
  <c r="N59" i="1"/>
  <c r="P59" i="1"/>
  <c r="AB48" i="1"/>
  <c r="AM48" i="1"/>
  <c r="AB19" i="1"/>
  <c r="AM19" i="1"/>
  <c r="AM49" i="1"/>
  <c r="AB45" i="1"/>
  <c r="AM45" i="1"/>
  <c r="AL58" i="1"/>
  <c r="AB35" i="1"/>
  <c r="AM35" i="1"/>
  <c r="R59" i="1"/>
  <c r="R60" i="1"/>
  <c r="M58" i="1"/>
  <c r="Y58" i="1"/>
  <c r="AM53" i="1"/>
  <c r="AM33" i="1"/>
  <c r="G58" i="1"/>
  <c r="AI28" i="1"/>
  <c r="G28" i="1"/>
  <c r="T58" i="1"/>
  <c r="AM9" i="1"/>
  <c r="K59" i="1"/>
  <c r="K60" i="1"/>
  <c r="F29" i="1"/>
  <c r="F59" i="1" s="1"/>
  <c r="F60" i="1" s="1"/>
  <c r="AL29" i="1"/>
  <c r="AM31" i="1"/>
  <c r="Q59" i="1"/>
  <c r="T29" i="1"/>
  <c r="D60" i="1"/>
  <c r="B59" i="1"/>
  <c r="B60" i="1"/>
  <c r="M28" i="1"/>
  <c r="Y15" i="1"/>
  <c r="U60" i="1"/>
  <c r="M29" i="1"/>
  <c r="Y28" i="1"/>
  <c r="AJ60" i="1"/>
  <c r="N60" i="1"/>
  <c r="AL59" i="1"/>
  <c r="AL60" i="1"/>
  <c r="AB58" i="1"/>
  <c r="AI29" i="1"/>
  <c r="AI59" i="1"/>
  <c r="AB28" i="1"/>
  <c r="AM28" i="1"/>
  <c r="T59" i="1"/>
  <c r="Q60" i="1"/>
  <c r="Y29" i="1"/>
  <c r="M59" i="1"/>
  <c r="Y59" i="1"/>
  <c r="E29" i="1" l="1"/>
  <c r="E59" i="1" s="1"/>
  <c r="E60" i="1" s="1"/>
  <c r="G60" i="1" s="1"/>
  <c r="AB60" i="1" s="1"/>
  <c r="G15" i="1"/>
  <c r="AB15" i="1" s="1"/>
  <c r="AM15" i="1" s="1"/>
  <c r="G59" i="1" l="1"/>
  <c r="AB59" i="1" s="1"/>
  <c r="AM59" i="1" s="1"/>
  <c r="G29" i="1"/>
  <c r="AB29" i="1" s="1"/>
  <c r="AI65" i="1"/>
  <c r="AM60" i="1"/>
</calcChain>
</file>

<file path=xl/sharedStrings.xml><?xml version="1.0" encoding="utf-8"?>
<sst xmlns="http://schemas.openxmlformats.org/spreadsheetml/2006/main" count="105" uniqueCount="99">
  <si>
    <t>Dance Network Association</t>
  </si>
  <si>
    <t>Financial Activities by Class</t>
  </si>
  <si>
    <t>September 2022 - August 2023</t>
  </si>
  <si>
    <t>Reserves</t>
  </si>
  <si>
    <t>Barking &amp; Dagenham</t>
  </si>
  <si>
    <t>Braintree Dancing for Joy</t>
  </si>
  <si>
    <t>Brentwood Dancing for Joy</t>
  </si>
  <si>
    <t>Chelmsford Dancing for Joy</t>
  </si>
  <si>
    <t>Colchester Dancing for Joy</t>
  </si>
  <si>
    <t>Unrestricted Funds</t>
  </si>
  <si>
    <t>Arts Council Recovery Grant</t>
  </si>
  <si>
    <t>Arts Council - Reserves</t>
  </si>
  <si>
    <t>Barking &amp; Dagenham Mass Dance</t>
  </si>
  <si>
    <t>HAF Provision</t>
  </si>
  <si>
    <t>Total Barking &amp; Dagenham</t>
  </si>
  <si>
    <t>Babies in the Barn</t>
  </si>
  <si>
    <t>Community 360</t>
  </si>
  <si>
    <t>ECC Arts &amp; Culture</t>
  </si>
  <si>
    <t>Fusion</t>
  </si>
  <si>
    <t xml:space="preserve">Total Braintree </t>
  </si>
  <si>
    <t>Brentwood Mental Health</t>
  </si>
  <si>
    <t xml:space="preserve">Total Brentwood </t>
  </si>
  <si>
    <t>National Lottery</t>
  </si>
  <si>
    <t>ReGeneration Chelmsford</t>
  </si>
  <si>
    <t xml:space="preserve">Total Chelmsford </t>
  </si>
  <si>
    <t>Catalyst</t>
  </si>
  <si>
    <t>Co-op Community Fund ECF</t>
  </si>
  <si>
    <t>Colchester Hyperlocal Fund</t>
  </si>
  <si>
    <t>Total Colchester</t>
  </si>
  <si>
    <t>Colchester Voluntary Welfare Grant</t>
  </si>
  <si>
    <t>ReGeneration Colchester</t>
  </si>
  <si>
    <t>Total Restricted Funds</t>
  </si>
  <si>
    <t>Barking &amp; Dagenham Early Years</t>
  </si>
  <si>
    <t>Bespoke Schools Programmes</t>
  </si>
  <si>
    <t>CPD - Dance for Care Homes</t>
  </si>
  <si>
    <t>Dance on Prescription</t>
  </si>
  <si>
    <t>Essex Summer Activity</t>
  </si>
  <si>
    <t>Total Unrestricted Funds</t>
  </si>
  <si>
    <t>Witham</t>
  </si>
  <si>
    <t>Dance with Dementia</t>
  </si>
  <si>
    <t>Total Witham</t>
  </si>
  <si>
    <t>TOTAL</t>
  </si>
  <si>
    <t>FUNDS BROUGHT FORWARD</t>
  </si>
  <si>
    <t>Income</t>
  </si>
  <si>
    <t xml:space="preserve">   Donation</t>
  </si>
  <si>
    <t xml:space="preserve">   Grants (Restricted)</t>
  </si>
  <si>
    <t xml:space="preserve">   Grants (Unrestricted)</t>
  </si>
  <si>
    <t xml:space="preserve">   Sales</t>
  </si>
  <si>
    <t xml:space="preserve">   Sales of Product Income</t>
  </si>
  <si>
    <t xml:space="preserve">   Services</t>
  </si>
  <si>
    <t>Total Income</t>
  </si>
  <si>
    <t>Cost of Sales</t>
  </si>
  <si>
    <t xml:space="preserve">   Books and resources</t>
  </si>
  <si>
    <t xml:space="preserve">   Equipment</t>
  </si>
  <si>
    <t xml:space="preserve">   Freelance Dance Artists</t>
  </si>
  <si>
    <t xml:space="preserve">   Freelance Music</t>
  </si>
  <si>
    <t xml:space="preserve">   Photography</t>
  </si>
  <si>
    <t xml:space="preserve">   Printing of Literature</t>
  </si>
  <si>
    <t xml:space="preserve">   Programme Expenses</t>
  </si>
  <si>
    <t xml:space="preserve">   Props for the programme</t>
  </si>
  <si>
    <t xml:space="preserve">   T-shirt Printing</t>
  </si>
  <si>
    <t xml:space="preserve">   Training</t>
  </si>
  <si>
    <t xml:space="preserve">   Videographer</t>
  </si>
  <si>
    <t>Total Cost of Sales</t>
  </si>
  <si>
    <t>Total</t>
  </si>
  <si>
    <t>Expenditures</t>
  </si>
  <si>
    <t xml:space="preserve">   Accountancy Fees</t>
  </si>
  <si>
    <t xml:space="preserve">   Bank charges</t>
  </si>
  <si>
    <t xml:space="preserve">   Communication Assistant</t>
  </si>
  <si>
    <t xml:space="preserve">   Computer/IT</t>
  </si>
  <si>
    <t xml:space="preserve">   Directors Remunerations</t>
  </si>
  <si>
    <t xml:space="preserve">   Employee costs</t>
  </si>
  <si>
    <t xml:space="preserve">   Employer's Pension</t>
  </si>
  <si>
    <t xml:space="preserve">   General Expenses</t>
  </si>
  <si>
    <t xml:space="preserve">   Insurance</t>
  </si>
  <si>
    <t xml:space="preserve">   Legal and Professional</t>
  </si>
  <si>
    <t xml:space="preserve">   Legal and professional fees</t>
  </si>
  <si>
    <t xml:space="preserve">   Marketing</t>
  </si>
  <si>
    <t xml:space="preserve">   Office costs</t>
  </si>
  <si>
    <t xml:space="preserve">   Office expenses, repairs &amp; maintenance</t>
  </si>
  <si>
    <t xml:space="preserve">   Postage</t>
  </si>
  <si>
    <t xml:space="preserve">   Printing, postage and stationery</t>
  </si>
  <si>
    <t xml:space="preserve">   Recruitment expenses</t>
  </si>
  <si>
    <t xml:space="preserve">   Rent</t>
  </si>
  <si>
    <t xml:space="preserve">   Rent and rates</t>
  </si>
  <si>
    <t xml:space="preserve">   Repairs and renewals</t>
  </si>
  <si>
    <t xml:space="preserve">   Staff training</t>
  </si>
  <si>
    <t xml:space="preserve">   Subscriptions</t>
  </si>
  <si>
    <t xml:space="preserve">   Sundry expenses</t>
  </si>
  <si>
    <t xml:space="preserve">   Telephone</t>
  </si>
  <si>
    <t xml:space="preserve">   Travel and Entertainment</t>
  </si>
  <si>
    <t xml:space="preserve">   Travelling expenses</t>
  </si>
  <si>
    <t xml:space="preserve">   Uncategorised Expense</t>
  </si>
  <si>
    <t>Total Expenditures</t>
  </si>
  <si>
    <t>Net Operating Income</t>
  </si>
  <si>
    <t>Net Income/(Expenditure)</t>
  </si>
  <si>
    <t>U/R</t>
  </si>
  <si>
    <t>RES</t>
  </si>
  <si>
    <t>Total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</si>
</sst>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&quot;£&quot;* #,##0.00\ _€"/>
    <numFmt numFmtId="166" formatCode="#,##0.000000000000"/>
    <numFmt numFmtId="167" formatCode="#,##0.00_ ;[Red]\-#,##0.00\ "/>
    <numFmt numFmtId="168" formatCode="#,##0.0"/>
  </numFmts>
  <fonts count="7" x14ac:knownFonts="1"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999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6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66" fontId="0" fillId="0" borderId="0" xfId="0" applyNumberFormat="1"/>
    <xf numFmtId="167" fontId="2" fillId="0" borderId="2" xfId="0" applyNumberFormat="1" applyFont="1" applyBorder="1" applyAlignment="1">
      <alignment horizontal="right" wrapText="1"/>
    </xf>
    <xf numFmtId="167" fontId="0" fillId="0" borderId="0" xfId="0" applyNumberFormat="1"/>
    <xf numFmtId="0" fontId="0" fillId="0" borderId="0" xfId="0" applyAlignment="1">
      <alignment horizontal="right"/>
    </xf>
    <xf numFmtId="0" fontId="1" fillId="8" borderId="5" xfId="0" applyFont="1" applyFill="1" applyBorder="1" applyAlignment="1">
      <alignment horizontal="center" wrapText="1"/>
    </xf>
    <xf numFmtId="0" fontId="1" fillId="8" borderId="6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right" wrapText="1"/>
    </xf>
    <xf numFmtId="164" fontId="3" fillId="0" borderId="8" xfId="0" applyNumberFormat="1" applyFont="1" applyBorder="1" applyAlignment="1">
      <alignment horizontal="right" wrapText="1"/>
    </xf>
    <xf numFmtId="164" fontId="3" fillId="0" borderId="7" xfId="0" applyNumberFormat="1" applyFont="1" applyBorder="1" applyAlignment="1">
      <alignment wrapText="1"/>
    </xf>
    <xf numFmtId="164" fontId="3" fillId="0" borderId="8" xfId="0" applyNumberFormat="1" applyFont="1" applyBorder="1" applyAlignment="1">
      <alignment wrapText="1"/>
    </xf>
    <xf numFmtId="165" fontId="2" fillId="0" borderId="9" xfId="0" applyNumberFormat="1" applyFont="1" applyBorder="1" applyAlignment="1">
      <alignment horizontal="right" wrapText="1"/>
    </xf>
    <xf numFmtId="165" fontId="2" fillId="0" borderId="10" xfId="0" applyNumberFormat="1" applyFont="1" applyBorder="1" applyAlignment="1">
      <alignment horizontal="right" wrapText="1"/>
    </xf>
    <xf numFmtId="167" fontId="2" fillId="0" borderId="9" xfId="0" applyNumberFormat="1" applyFont="1" applyBorder="1" applyAlignment="1">
      <alignment horizontal="right" wrapText="1"/>
    </xf>
    <xf numFmtId="167" fontId="2" fillId="0" borderId="10" xfId="0" applyNumberFormat="1" applyFont="1" applyBorder="1" applyAlignment="1">
      <alignment horizontal="right" wrapText="1"/>
    </xf>
    <xf numFmtId="167" fontId="2" fillId="0" borderId="11" xfId="0" applyNumberFormat="1" applyFont="1" applyBorder="1" applyAlignment="1">
      <alignment horizontal="right" wrapText="1"/>
    </xf>
    <xf numFmtId="167" fontId="2" fillId="0" borderId="12" xfId="0" applyNumberFormat="1" applyFont="1" applyBorder="1" applyAlignment="1">
      <alignment horizontal="right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165" fontId="2" fillId="0" borderId="2" xfId="0" applyNumberFormat="1" applyFont="1" applyBorder="1" applyAlignment="1">
      <alignment horizontal="right" wrapText="1"/>
    </xf>
    <xf numFmtId="167" fontId="2" fillId="0" borderId="14" xfId="0" applyNumberFormat="1" applyFont="1" applyBorder="1" applyAlignment="1">
      <alignment horizontal="right" wrapText="1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0" fillId="0" borderId="3" xfId="0" applyBorder="1"/>
    <xf numFmtId="0" fontId="0" fillId="0" borderId="13" xfId="0" applyBorder="1"/>
    <xf numFmtId="0" fontId="0" fillId="0" borderId="4" xfId="0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7" borderId="5" xfId="0" applyFont="1" applyFill="1" applyBorder="1" applyAlignment="1">
      <alignment horizontal="center" wrapText="1"/>
    </xf>
    <xf numFmtId="0" fontId="1" fillId="7" borderId="6" xfId="0" applyFont="1" applyFill="1" applyBorder="1" applyAlignment="1">
      <alignment horizontal="center" wrapText="1"/>
    </xf>
    <xf numFmtId="0" fontId="0" fillId="0" borderId="15" xfId="0" applyBorder="1"/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64" fontId="3" fillId="0" borderId="17" xfId="0" applyNumberFormat="1" applyFont="1" applyBorder="1" applyAlignment="1">
      <alignment horizontal="right" wrapText="1"/>
    </xf>
    <xf numFmtId="165" fontId="2" fillId="0" borderId="18" xfId="0" applyNumberFormat="1" applyFont="1" applyBorder="1" applyAlignment="1">
      <alignment horizontal="right" wrapText="1"/>
    </xf>
    <xf numFmtId="164" fontId="3" fillId="0" borderId="17" xfId="0" applyNumberFormat="1" applyFont="1" applyBorder="1" applyAlignment="1">
      <alignment wrapText="1"/>
    </xf>
    <xf numFmtId="167" fontId="2" fillId="0" borderId="18" xfId="0" applyNumberFormat="1" applyFont="1" applyBorder="1" applyAlignment="1">
      <alignment horizontal="right" wrapText="1"/>
    </xf>
    <xf numFmtId="167" fontId="2" fillId="0" borderId="19" xfId="0" applyNumberFormat="1" applyFont="1" applyBorder="1" applyAlignment="1">
      <alignment horizontal="right" wrapText="1"/>
    </xf>
    <xf numFmtId="4" fontId="0" fillId="0" borderId="0" xfId="0" applyNumberFormat="1"/>
    <xf numFmtId="168" fontId="0" fillId="0" borderId="0" xfId="0" applyNumberFormat="1"/>
    <xf numFmtId="0" fontId="1" fillId="3" borderId="6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5"/>
  <sheetViews>
    <sheetView tabSelected="1" topLeftCell="Q42" workbookViewId="0">
      <selection activeCell="D69" sqref="D69:AL69"/>
    </sheetView>
  </sheetViews>
  <sheetFormatPr defaultRowHeight="14.4" x14ac:dyDescent="0.3"/>
  <cols>
    <col min="1" max="1" width="36.109375" customWidth="1"/>
    <col min="2" max="2" width="9.6640625" customWidth="1"/>
    <col min="3" max="3" width="10.33203125" customWidth="1"/>
    <col min="4" max="4" width="7.6640625" customWidth="1"/>
    <col min="5" max="7" width="9.44140625" customWidth="1"/>
    <col min="8" max="8" width="7.6640625" customWidth="1"/>
    <col min="9" max="9" width="10.33203125" customWidth="1"/>
    <col min="10" max="10" width="10.88671875" customWidth="1"/>
    <col min="11" max="12" width="8.5546875" customWidth="1"/>
    <col min="13" max="13" width="10.33203125" customWidth="1"/>
    <col min="14" max="14" width="7.6640625" customWidth="1"/>
    <col min="15" max="15" width="13.5546875" customWidth="1"/>
    <col min="16" max="16" width="12.6640625" customWidth="1"/>
    <col min="17" max="17" width="7.6640625" customWidth="1"/>
    <col min="18" max="18" width="9.44140625" customWidth="1"/>
    <col min="19" max="19" width="12.5546875" customWidth="1"/>
    <col min="20" max="20" width="10.5546875" customWidth="1"/>
    <col min="21" max="21" width="7.6640625" customWidth="1"/>
    <col min="22" max="22" width="9.44140625" customWidth="1"/>
    <col min="23" max="24" width="11" customWidth="1"/>
    <col min="25" max="25" width="11.44140625" customWidth="1"/>
    <col min="26" max="26" width="13.109375" customWidth="1"/>
    <col min="27" max="27" width="12.5546875" customWidth="1"/>
    <col min="28" max="28" width="10.33203125" customWidth="1"/>
    <col min="29" max="29" width="11" customWidth="1"/>
    <col min="30" max="30" width="10.6640625" customWidth="1"/>
    <col min="31" max="31" width="13" customWidth="1"/>
    <col min="32" max="32" width="11.44140625" customWidth="1"/>
    <col min="33" max="33" width="11.88671875" customWidth="1"/>
    <col min="34" max="34" width="9.33203125" customWidth="1"/>
    <col min="35" max="35" width="12.33203125" customWidth="1"/>
    <col min="36" max="36" width="7.6640625" customWidth="1"/>
    <col min="37" max="37" width="10.88671875" customWidth="1"/>
    <col min="38" max="38" width="10" customWidth="1"/>
    <col min="39" max="39" width="14" customWidth="1"/>
    <col min="42" max="42" width="10.109375" bestFit="1" customWidth="1"/>
  </cols>
  <sheetData>
    <row r="1" spans="1:42" ht="17.399999999999999" x14ac:dyDescent="0.3">
      <c r="A1" s="62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</row>
    <row r="2" spans="1:42" ht="17.399999999999999" x14ac:dyDescent="0.3">
      <c r="A2" s="62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</row>
    <row r="3" spans="1:42" ht="15" thickBot="1" x14ac:dyDescent="0.35">
      <c r="A3" s="63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</row>
    <row r="4" spans="1:42" x14ac:dyDescent="0.3">
      <c r="B4" s="81" t="s">
        <v>3</v>
      </c>
      <c r="C4" s="82"/>
      <c r="E4" s="64" t="s">
        <v>4</v>
      </c>
      <c r="F4" s="65"/>
      <c r="G4" s="66"/>
      <c r="I4" s="67" t="s">
        <v>5</v>
      </c>
      <c r="J4" s="68"/>
      <c r="K4" s="68"/>
      <c r="L4" s="68"/>
      <c r="M4" s="69"/>
      <c r="O4" s="70" t="s">
        <v>6</v>
      </c>
      <c r="P4" s="71"/>
      <c r="R4" s="72" t="s">
        <v>7</v>
      </c>
      <c r="S4" s="73"/>
      <c r="T4" s="74"/>
      <c r="V4" s="75" t="s">
        <v>8</v>
      </c>
      <c r="W4" s="76"/>
      <c r="X4" s="76"/>
      <c r="Y4" s="77"/>
      <c r="Z4" s="39"/>
      <c r="AA4" s="40"/>
      <c r="AB4" s="41"/>
      <c r="AC4" s="78" t="s">
        <v>9</v>
      </c>
      <c r="AD4" s="79"/>
      <c r="AE4" s="79"/>
      <c r="AF4" s="79"/>
      <c r="AG4" s="79"/>
      <c r="AH4" s="79"/>
      <c r="AI4" s="80"/>
      <c r="AK4" s="39"/>
      <c r="AL4" s="41"/>
      <c r="AM4" s="46"/>
    </row>
    <row r="5" spans="1:42" ht="78" customHeight="1" x14ac:dyDescent="0.3">
      <c r="A5" s="1"/>
      <c r="B5" s="17" t="s">
        <v>10</v>
      </c>
      <c r="C5" s="18" t="s">
        <v>11</v>
      </c>
      <c r="D5" s="2" t="s">
        <v>4</v>
      </c>
      <c r="E5" s="31" t="s">
        <v>12</v>
      </c>
      <c r="F5" s="7" t="s">
        <v>13</v>
      </c>
      <c r="G5" s="32" t="s">
        <v>14</v>
      </c>
      <c r="H5" s="2" t="s">
        <v>5</v>
      </c>
      <c r="I5" s="35" t="s">
        <v>15</v>
      </c>
      <c r="J5" s="8" t="s">
        <v>16</v>
      </c>
      <c r="K5" s="8" t="s">
        <v>17</v>
      </c>
      <c r="L5" s="8" t="s">
        <v>18</v>
      </c>
      <c r="M5" s="56" t="s">
        <v>19</v>
      </c>
      <c r="N5" s="2" t="s">
        <v>6</v>
      </c>
      <c r="O5" s="36" t="s">
        <v>20</v>
      </c>
      <c r="P5" s="57" t="s">
        <v>21</v>
      </c>
      <c r="Q5" s="2" t="s">
        <v>7</v>
      </c>
      <c r="R5" s="37" t="s">
        <v>22</v>
      </c>
      <c r="S5" s="9" t="s">
        <v>23</v>
      </c>
      <c r="T5" s="58" t="s">
        <v>24</v>
      </c>
      <c r="U5" s="2" t="s">
        <v>8</v>
      </c>
      <c r="V5" s="38" t="s">
        <v>25</v>
      </c>
      <c r="W5" s="10" t="s">
        <v>26</v>
      </c>
      <c r="X5" s="10" t="s">
        <v>27</v>
      </c>
      <c r="Y5" s="59" t="s">
        <v>28</v>
      </c>
      <c r="Z5" s="42" t="s">
        <v>29</v>
      </c>
      <c r="AA5" s="2" t="s">
        <v>30</v>
      </c>
      <c r="AB5" s="43" t="s">
        <v>31</v>
      </c>
      <c r="AC5" s="44" t="s">
        <v>9</v>
      </c>
      <c r="AD5" s="11" t="s">
        <v>32</v>
      </c>
      <c r="AE5" s="11" t="s">
        <v>33</v>
      </c>
      <c r="AF5" s="11" t="s">
        <v>34</v>
      </c>
      <c r="AG5" s="11" t="s">
        <v>35</v>
      </c>
      <c r="AH5" s="11" t="s">
        <v>36</v>
      </c>
      <c r="AI5" s="45" t="s">
        <v>37</v>
      </c>
      <c r="AJ5" s="2" t="s">
        <v>38</v>
      </c>
      <c r="AK5" s="42" t="s">
        <v>39</v>
      </c>
      <c r="AL5" s="43" t="s">
        <v>40</v>
      </c>
      <c r="AM5" s="47" t="s">
        <v>41</v>
      </c>
    </row>
    <row r="6" spans="1:42" ht="36" customHeight="1" x14ac:dyDescent="0.3">
      <c r="A6" s="1"/>
      <c r="B6" s="19"/>
      <c r="C6" s="20"/>
      <c r="D6" s="12"/>
      <c r="E6" s="19"/>
      <c r="F6" s="12"/>
      <c r="G6" s="20"/>
      <c r="H6" s="12"/>
      <c r="I6" s="19"/>
      <c r="J6" s="12"/>
      <c r="K6" s="12"/>
      <c r="L6" s="12"/>
      <c r="M6" s="20"/>
      <c r="N6" s="12"/>
      <c r="O6" s="19"/>
      <c r="P6" s="20"/>
      <c r="Q6" s="12"/>
      <c r="R6" s="19"/>
      <c r="S6" s="12"/>
      <c r="T6" s="20"/>
      <c r="U6" s="12"/>
      <c r="V6" s="19"/>
      <c r="W6" s="12"/>
      <c r="X6" s="12"/>
      <c r="Y6" s="20"/>
      <c r="Z6" s="19"/>
      <c r="AA6" s="12"/>
      <c r="AB6" s="20"/>
      <c r="AC6" s="19"/>
      <c r="AD6" s="12"/>
      <c r="AE6" s="12"/>
      <c r="AF6" s="12"/>
      <c r="AG6" s="12"/>
      <c r="AH6" s="12"/>
      <c r="AI6" s="20"/>
      <c r="AJ6" s="12"/>
      <c r="AK6" s="19"/>
      <c r="AL6" s="20"/>
      <c r="AM6" s="48"/>
    </row>
    <row r="7" spans="1:42" x14ac:dyDescent="0.3">
      <c r="A7" s="6" t="s">
        <v>42</v>
      </c>
      <c r="B7" s="21">
        <v>3345</v>
      </c>
      <c r="C7" s="22">
        <v>11745</v>
      </c>
      <c r="D7" s="5"/>
      <c r="E7" s="21">
        <v>97</v>
      </c>
      <c r="F7" s="5"/>
      <c r="G7" s="22">
        <f t="shared" ref="G7:G14" si="0">((D7)+(E7))+(F7)</f>
        <v>97</v>
      </c>
      <c r="H7" s="5"/>
      <c r="I7" s="21">
        <v>2708</v>
      </c>
      <c r="J7" s="5"/>
      <c r="K7" s="5"/>
      <c r="L7" s="5"/>
      <c r="M7" s="22">
        <f t="shared" ref="M7:M8" si="1">((((H7)+(I7))+(J7))+(K7))+(L7)</f>
        <v>2708</v>
      </c>
      <c r="N7" s="5"/>
      <c r="O7" s="21"/>
      <c r="P7" s="22">
        <f t="shared" ref="P7:P15" si="2">(N7)+(O7)</f>
        <v>0</v>
      </c>
      <c r="Q7" s="5"/>
      <c r="R7" s="21">
        <v>640</v>
      </c>
      <c r="S7" s="5"/>
      <c r="T7" s="22">
        <f t="shared" ref="T7:T15" si="3">((Q7)+(R7))+(S7)</f>
        <v>640</v>
      </c>
      <c r="U7" s="5"/>
      <c r="V7" s="21"/>
      <c r="W7" s="5"/>
      <c r="X7" s="5">
        <v>11</v>
      </c>
      <c r="Y7" s="22">
        <f t="shared" ref="Y7:Y15" si="4">(((U7)+(V7))+(W7))+(X7)</f>
        <v>11</v>
      </c>
      <c r="Z7" s="21">
        <v>2215</v>
      </c>
      <c r="AA7" s="5"/>
      <c r="AB7" s="22">
        <f>((((((((B7)+(C7))+(G7))+(M7))+(P7))+(T7))+(Y7))+(Z7))+(AA7)</f>
        <v>20761</v>
      </c>
      <c r="AC7" s="21">
        <v>-5996</v>
      </c>
      <c r="AD7" s="5">
        <v>-18</v>
      </c>
      <c r="AE7" s="5">
        <v>4817</v>
      </c>
      <c r="AF7" s="5"/>
      <c r="AG7" s="5"/>
      <c r="AH7" s="5"/>
      <c r="AI7" s="22">
        <f t="shared" ref="AI7:AI15" si="5">(((((AC7)+(AD7))+(AE7))+(AF7))+(AG7))+(AH7)</f>
        <v>-1197</v>
      </c>
      <c r="AJ7" s="5"/>
      <c r="AK7" s="21">
        <v>1099</v>
      </c>
      <c r="AL7" s="22">
        <f t="shared" ref="AL7:AL15" si="6">(AJ7)+(AK7)</f>
        <v>1099</v>
      </c>
      <c r="AM7" s="49">
        <f>((AB7)+(AI7))+(AL7)</f>
        <v>20663</v>
      </c>
    </row>
    <row r="8" spans="1:42" x14ac:dyDescent="0.3">
      <c r="A8" s="3" t="s">
        <v>43</v>
      </c>
      <c r="B8" s="21"/>
      <c r="C8" s="22"/>
      <c r="D8" s="5"/>
      <c r="E8" s="21"/>
      <c r="F8" s="5"/>
      <c r="G8" s="22"/>
      <c r="H8" s="5"/>
      <c r="I8" s="21"/>
      <c r="J8" s="5"/>
      <c r="K8" s="5"/>
      <c r="L8" s="5"/>
      <c r="M8" s="22">
        <f t="shared" si="1"/>
        <v>0</v>
      </c>
      <c r="N8" s="5"/>
      <c r="O8" s="21"/>
      <c r="P8" s="22">
        <f t="shared" si="2"/>
        <v>0</v>
      </c>
      <c r="Q8" s="5"/>
      <c r="R8" s="21"/>
      <c r="S8" s="5"/>
      <c r="T8" s="22">
        <f t="shared" si="3"/>
        <v>0</v>
      </c>
      <c r="U8" s="5"/>
      <c r="V8" s="21"/>
      <c r="W8" s="5"/>
      <c r="X8" s="5"/>
      <c r="Y8" s="22">
        <f t="shared" si="4"/>
        <v>0</v>
      </c>
      <c r="Z8" s="21"/>
      <c r="AA8" s="5"/>
      <c r="AB8" s="22">
        <f t="shared" ref="AB8" si="7">((((((((B8)+(C8))+(G8))+(M8))+(P8))+(T8))+(Y8))+(Z8))+(AA8)</f>
        <v>0</v>
      </c>
      <c r="AC8" s="21"/>
      <c r="AD8" s="5"/>
      <c r="AE8" s="5"/>
      <c r="AF8" s="5"/>
      <c r="AG8" s="5"/>
      <c r="AH8" s="5"/>
      <c r="AI8" s="22">
        <f t="shared" si="5"/>
        <v>0</v>
      </c>
      <c r="AJ8" s="5"/>
      <c r="AK8" s="21"/>
      <c r="AL8" s="22">
        <f t="shared" si="6"/>
        <v>0</v>
      </c>
      <c r="AM8" s="49">
        <f t="shared" ref="AM8:AM15" si="8">((AB8)+(AI8))+(AL8)</f>
        <v>0</v>
      </c>
      <c r="AP8" s="54"/>
    </row>
    <row r="9" spans="1:42" x14ac:dyDescent="0.3">
      <c r="A9" s="3" t="s">
        <v>44</v>
      </c>
      <c r="B9" s="23"/>
      <c r="C9" s="24"/>
      <c r="D9" s="4"/>
      <c r="E9" s="23"/>
      <c r="F9" s="5">
        <f>100</f>
        <v>100</v>
      </c>
      <c r="G9" s="22">
        <f t="shared" si="0"/>
        <v>100</v>
      </c>
      <c r="H9" s="4"/>
      <c r="I9" s="23"/>
      <c r="J9" s="4"/>
      <c r="K9" s="4"/>
      <c r="L9" s="4"/>
      <c r="M9" s="22">
        <f t="shared" ref="M9:M15" si="9">((((H9)+(I9))+(J9))+(K9))+(L9)</f>
        <v>0</v>
      </c>
      <c r="N9" s="4"/>
      <c r="O9" s="23"/>
      <c r="P9" s="22">
        <f t="shared" si="2"/>
        <v>0</v>
      </c>
      <c r="Q9" s="4"/>
      <c r="R9" s="23"/>
      <c r="S9" s="4"/>
      <c r="T9" s="22">
        <f t="shared" si="3"/>
        <v>0</v>
      </c>
      <c r="U9" s="4"/>
      <c r="V9" s="23"/>
      <c r="W9" s="4"/>
      <c r="X9" s="4"/>
      <c r="Y9" s="22">
        <f t="shared" si="4"/>
        <v>0</v>
      </c>
      <c r="Z9" s="23"/>
      <c r="AA9" s="4"/>
      <c r="AB9" s="22">
        <f t="shared" ref="AB9:AB15" si="10">((((((((B9)+(C9))+(G9))+(M9))+(P9))+(T9))+(Y9))+(Z9))+(AA9)</f>
        <v>100</v>
      </c>
      <c r="AC9" s="21">
        <f>1406.76</f>
        <v>1406.76</v>
      </c>
      <c r="AD9" s="4"/>
      <c r="AE9" s="4"/>
      <c r="AF9" s="4"/>
      <c r="AG9" s="4"/>
      <c r="AH9" s="4"/>
      <c r="AI9" s="22">
        <f t="shared" si="5"/>
        <v>1406.76</v>
      </c>
      <c r="AJ9" s="4"/>
      <c r="AK9" s="23"/>
      <c r="AL9" s="22">
        <f t="shared" si="6"/>
        <v>0</v>
      </c>
      <c r="AM9" s="49">
        <f t="shared" si="8"/>
        <v>1506.76</v>
      </c>
      <c r="AP9" s="55"/>
    </row>
    <row r="10" spans="1:42" x14ac:dyDescent="0.3">
      <c r="A10" s="3" t="s">
        <v>45</v>
      </c>
      <c r="B10" s="23"/>
      <c r="C10" s="24"/>
      <c r="D10" s="4"/>
      <c r="E10" s="23">
        <v>35000</v>
      </c>
      <c r="F10" s="4">
        <v>17295</v>
      </c>
      <c r="G10" s="22">
        <f t="shared" si="0"/>
        <v>52295</v>
      </c>
      <c r="H10" s="4"/>
      <c r="I10" s="21">
        <f>4500</f>
        <v>4500</v>
      </c>
      <c r="J10" s="5">
        <f>1500</f>
        <v>1500</v>
      </c>
      <c r="K10" s="5">
        <f>4500</f>
        <v>4500</v>
      </c>
      <c r="L10" s="4"/>
      <c r="M10" s="22">
        <f t="shared" si="9"/>
        <v>10500</v>
      </c>
      <c r="N10" s="4"/>
      <c r="O10" s="23"/>
      <c r="P10" s="22">
        <f t="shared" si="2"/>
        <v>0</v>
      </c>
      <c r="Q10" s="4"/>
      <c r="R10" s="23"/>
      <c r="S10" s="4"/>
      <c r="T10" s="22">
        <f t="shared" si="3"/>
        <v>0</v>
      </c>
      <c r="U10" s="4"/>
      <c r="V10" s="21">
        <f>10832</f>
        <v>10832</v>
      </c>
      <c r="W10" s="5">
        <f>2500</f>
        <v>2500</v>
      </c>
      <c r="X10" s="5">
        <f>1300</f>
        <v>1300</v>
      </c>
      <c r="Y10" s="22">
        <f t="shared" si="4"/>
        <v>14632</v>
      </c>
      <c r="Z10" s="21">
        <f>22000</f>
        <v>22000</v>
      </c>
      <c r="AA10" s="4"/>
      <c r="AB10" s="22">
        <f t="shared" si="10"/>
        <v>99427</v>
      </c>
      <c r="AC10" s="23"/>
      <c r="AD10" s="4"/>
      <c r="AE10" s="4"/>
      <c r="AF10" s="4"/>
      <c r="AG10" s="4"/>
      <c r="AH10" s="4"/>
      <c r="AI10" s="22">
        <f t="shared" si="5"/>
        <v>0</v>
      </c>
      <c r="AJ10" s="4"/>
      <c r="AK10" s="23"/>
      <c r="AL10" s="22">
        <f t="shared" si="6"/>
        <v>0</v>
      </c>
      <c r="AM10" s="49">
        <f t="shared" si="8"/>
        <v>99427</v>
      </c>
    </row>
    <row r="11" spans="1:42" x14ac:dyDescent="0.3">
      <c r="A11" s="3" t="s">
        <v>46</v>
      </c>
      <c r="B11" s="23"/>
      <c r="C11" s="24"/>
      <c r="D11" s="4"/>
      <c r="E11" s="23"/>
      <c r="F11" s="4"/>
      <c r="G11" s="22">
        <f t="shared" si="0"/>
        <v>0</v>
      </c>
      <c r="H11" s="4"/>
      <c r="I11" s="23"/>
      <c r="J11" s="4"/>
      <c r="K11" s="4"/>
      <c r="L11" s="4"/>
      <c r="M11" s="22">
        <f t="shared" si="9"/>
        <v>0</v>
      </c>
      <c r="N11" s="4"/>
      <c r="O11" s="23"/>
      <c r="P11" s="22">
        <f t="shared" si="2"/>
        <v>0</v>
      </c>
      <c r="Q11" s="4"/>
      <c r="R11" s="23"/>
      <c r="S11" s="4"/>
      <c r="T11" s="22">
        <f t="shared" si="3"/>
        <v>0</v>
      </c>
      <c r="U11" s="4"/>
      <c r="V11" s="23"/>
      <c r="W11" s="4"/>
      <c r="X11" s="4"/>
      <c r="Y11" s="22">
        <f t="shared" si="4"/>
        <v>0</v>
      </c>
      <c r="Z11" s="23"/>
      <c r="AA11" s="5">
        <f>1000</f>
        <v>1000</v>
      </c>
      <c r="AB11" s="22">
        <f t="shared" si="10"/>
        <v>1000</v>
      </c>
      <c r="AC11" s="23"/>
      <c r="AD11" s="4"/>
      <c r="AE11" s="4"/>
      <c r="AF11" s="4"/>
      <c r="AG11" s="4"/>
      <c r="AH11" s="4"/>
      <c r="AI11" s="22">
        <f t="shared" si="5"/>
        <v>0</v>
      </c>
      <c r="AJ11" s="4"/>
      <c r="AK11" s="23"/>
      <c r="AL11" s="22">
        <f t="shared" si="6"/>
        <v>0</v>
      </c>
      <c r="AM11" s="49">
        <f t="shared" si="8"/>
        <v>1000</v>
      </c>
    </row>
    <row r="12" spans="1:42" x14ac:dyDescent="0.3">
      <c r="A12" s="3" t="s">
        <v>47</v>
      </c>
      <c r="B12" s="23"/>
      <c r="C12" s="24"/>
      <c r="D12" s="4"/>
      <c r="E12" s="23"/>
      <c r="F12" s="4"/>
      <c r="G12" s="22">
        <f t="shared" si="0"/>
        <v>0</v>
      </c>
      <c r="H12" s="4"/>
      <c r="I12" s="23"/>
      <c r="J12" s="4"/>
      <c r="K12" s="4"/>
      <c r="L12" s="4"/>
      <c r="M12" s="22">
        <f t="shared" si="9"/>
        <v>0</v>
      </c>
      <c r="N12" s="4"/>
      <c r="O12" s="23"/>
      <c r="P12" s="22">
        <f t="shared" si="2"/>
        <v>0</v>
      </c>
      <c r="Q12" s="4"/>
      <c r="R12" s="23"/>
      <c r="S12" s="4"/>
      <c r="T12" s="22">
        <f t="shared" si="3"/>
        <v>0</v>
      </c>
      <c r="U12" s="4"/>
      <c r="V12" s="23"/>
      <c r="W12" s="4"/>
      <c r="X12" s="4"/>
      <c r="Y12" s="22">
        <f t="shared" si="4"/>
        <v>0</v>
      </c>
      <c r="Z12" s="23"/>
      <c r="AA12" s="4"/>
      <c r="AB12" s="22">
        <f t="shared" si="10"/>
        <v>0</v>
      </c>
      <c r="AC12" s="21">
        <f>5</f>
        <v>5</v>
      </c>
      <c r="AD12" s="4"/>
      <c r="AE12" s="4"/>
      <c r="AF12" s="4"/>
      <c r="AG12" s="4"/>
      <c r="AH12" s="4"/>
      <c r="AI12" s="22">
        <f t="shared" si="5"/>
        <v>5</v>
      </c>
      <c r="AJ12" s="4"/>
      <c r="AK12" s="23"/>
      <c r="AL12" s="22">
        <f t="shared" si="6"/>
        <v>0</v>
      </c>
      <c r="AM12" s="49">
        <f t="shared" si="8"/>
        <v>5</v>
      </c>
    </row>
    <row r="13" spans="1:42" x14ac:dyDescent="0.3">
      <c r="A13" s="3" t="s">
        <v>48</v>
      </c>
      <c r="B13" s="23"/>
      <c r="C13" s="24"/>
      <c r="D13" s="4"/>
      <c r="E13" s="21">
        <f>1685</f>
        <v>1685</v>
      </c>
      <c r="F13" s="4"/>
      <c r="G13" s="22">
        <f t="shared" si="0"/>
        <v>1685</v>
      </c>
      <c r="H13" s="4"/>
      <c r="I13" s="23"/>
      <c r="J13" s="4"/>
      <c r="K13" s="4"/>
      <c r="L13" s="4"/>
      <c r="M13" s="22">
        <f t="shared" si="9"/>
        <v>0</v>
      </c>
      <c r="N13" s="4"/>
      <c r="O13" s="23"/>
      <c r="P13" s="22">
        <f t="shared" si="2"/>
        <v>0</v>
      </c>
      <c r="Q13" s="4"/>
      <c r="R13" s="23"/>
      <c r="S13" s="4"/>
      <c r="T13" s="22">
        <f t="shared" si="3"/>
        <v>0</v>
      </c>
      <c r="U13" s="4"/>
      <c r="V13" s="23"/>
      <c r="W13" s="4"/>
      <c r="X13" s="4"/>
      <c r="Y13" s="22">
        <f t="shared" si="4"/>
        <v>0</v>
      </c>
      <c r="Z13" s="23"/>
      <c r="AA13" s="4"/>
      <c r="AB13" s="22">
        <f t="shared" si="10"/>
        <v>1685</v>
      </c>
      <c r="AC13" s="21">
        <f>85</f>
        <v>85</v>
      </c>
      <c r="AD13" s="4"/>
      <c r="AE13" s="4"/>
      <c r="AF13" s="4"/>
      <c r="AG13" s="4"/>
      <c r="AH13" s="4"/>
      <c r="AI13" s="22">
        <f t="shared" si="5"/>
        <v>85</v>
      </c>
      <c r="AJ13" s="4"/>
      <c r="AK13" s="23"/>
      <c r="AL13" s="22">
        <f t="shared" si="6"/>
        <v>0</v>
      </c>
      <c r="AM13" s="49">
        <f t="shared" si="8"/>
        <v>1770</v>
      </c>
    </row>
    <row r="14" spans="1:42" x14ac:dyDescent="0.3">
      <c r="A14" s="3" t="s">
        <v>49</v>
      </c>
      <c r="B14" s="23"/>
      <c r="C14" s="24"/>
      <c r="D14" s="4"/>
      <c r="E14" s="21"/>
      <c r="F14" s="5"/>
      <c r="G14" s="22">
        <f t="shared" si="0"/>
        <v>0</v>
      </c>
      <c r="H14" s="4"/>
      <c r="I14" s="23"/>
      <c r="J14" s="4"/>
      <c r="K14" s="4"/>
      <c r="L14" s="5">
        <f>1800</f>
        <v>1800</v>
      </c>
      <c r="M14" s="22">
        <f t="shared" si="9"/>
        <v>1800</v>
      </c>
      <c r="N14" s="4"/>
      <c r="O14" s="23"/>
      <c r="P14" s="22">
        <f t="shared" si="2"/>
        <v>0</v>
      </c>
      <c r="Q14" s="4"/>
      <c r="R14" s="23"/>
      <c r="S14" s="4"/>
      <c r="T14" s="22">
        <f t="shared" si="3"/>
        <v>0</v>
      </c>
      <c r="U14" s="4"/>
      <c r="V14" s="23"/>
      <c r="W14" s="4"/>
      <c r="X14" s="4"/>
      <c r="Y14" s="22">
        <f t="shared" si="4"/>
        <v>0</v>
      </c>
      <c r="Z14" s="23"/>
      <c r="AA14" s="4"/>
      <c r="AB14" s="22">
        <f t="shared" si="10"/>
        <v>1800</v>
      </c>
      <c r="AC14" s="21">
        <f>5592.5</f>
        <v>5592.5</v>
      </c>
      <c r="AD14" s="5">
        <f>8500</f>
        <v>8500</v>
      </c>
      <c r="AE14" s="5">
        <f>21660</f>
        <v>21660</v>
      </c>
      <c r="AF14" s="5">
        <f>4535</f>
        <v>4535</v>
      </c>
      <c r="AG14" s="5">
        <f>100</f>
        <v>100</v>
      </c>
      <c r="AH14" s="5">
        <f>975</f>
        <v>975</v>
      </c>
      <c r="AI14" s="22">
        <f t="shared" si="5"/>
        <v>41362.5</v>
      </c>
      <c r="AJ14" s="4"/>
      <c r="AK14" s="21">
        <f>480</f>
        <v>480</v>
      </c>
      <c r="AL14" s="22">
        <f t="shared" si="6"/>
        <v>480</v>
      </c>
      <c r="AM14" s="49">
        <f t="shared" si="8"/>
        <v>43642.5</v>
      </c>
    </row>
    <row r="15" spans="1:42" x14ac:dyDescent="0.3">
      <c r="A15" s="3" t="s">
        <v>50</v>
      </c>
      <c r="B15" s="25">
        <f>(((((B9)+(B10))+(B11))+(B12))+(B13))+(B14)+B7</f>
        <v>3345</v>
      </c>
      <c r="C15" s="26">
        <f>(((((C9)+(C10))+(C11))+(C12))+(C13))+(C14)+C7</f>
        <v>11745</v>
      </c>
      <c r="D15" s="33">
        <f t="shared" ref="D15:F15" si="11">(((((D9)+(D10))+(D11))+(D12))+(D13))+(D14)+D7</f>
        <v>0</v>
      </c>
      <c r="E15" s="25">
        <f t="shared" si="11"/>
        <v>36782</v>
      </c>
      <c r="F15" s="33">
        <f t="shared" si="11"/>
        <v>17395</v>
      </c>
      <c r="G15" s="26">
        <f>((D15)+(E15))+(F15)</f>
        <v>54177</v>
      </c>
      <c r="H15" s="33">
        <f>(((((H9)+(H10))+(H11))+(H12))+(H13))+(H14)</f>
        <v>0</v>
      </c>
      <c r="I15" s="25">
        <f t="shared" ref="I15" si="12">(((((I9)+(I10))+(I11))+(I12))+(I13))+(I14)+I7</f>
        <v>7208</v>
      </c>
      <c r="J15" s="33">
        <f t="shared" ref="J15" si="13">(((((J9)+(J10))+(J11))+(J12))+(J13))+(J14)+J7</f>
        <v>1500</v>
      </c>
      <c r="K15" s="33">
        <f t="shared" ref="K15" si="14">(((((K9)+(K10))+(K11))+(K12))+(K13))+(K14)+K7</f>
        <v>4500</v>
      </c>
      <c r="L15" s="33">
        <f t="shared" ref="L15" si="15">(((((L9)+(L10))+(L11))+(L12))+(L13))+(L14)+L7</f>
        <v>1800</v>
      </c>
      <c r="M15" s="26">
        <f t="shared" si="9"/>
        <v>15008</v>
      </c>
      <c r="N15" s="33">
        <f>(((((N9)+(N10))+(N11))+(N12))+(N13))+(N14)</f>
        <v>0</v>
      </c>
      <c r="O15" s="25">
        <f t="shared" ref="O15" si="16">(((((O9)+(O10))+(O11))+(O12))+(O13))+(O14)+O7</f>
        <v>0</v>
      </c>
      <c r="P15" s="26">
        <f t="shared" si="2"/>
        <v>0</v>
      </c>
      <c r="Q15" s="33">
        <f>(((((Q9)+(Q10))+(Q11))+(Q12))+(Q13))+(Q14)</f>
        <v>0</v>
      </c>
      <c r="R15" s="25">
        <f t="shared" ref="R15:S15" si="17">(((((R9)+(R10))+(R11))+(R12))+(R13))+(R14)+R7</f>
        <v>640</v>
      </c>
      <c r="S15" s="33">
        <f t="shared" si="17"/>
        <v>0</v>
      </c>
      <c r="T15" s="26">
        <f t="shared" si="3"/>
        <v>640</v>
      </c>
      <c r="U15" s="33">
        <f>(((((U9)+(U10))+(U11))+(U12))+(U13))+(U14)</f>
        <v>0</v>
      </c>
      <c r="V15" s="25">
        <f t="shared" ref="V15:X15" si="18">(((((V9)+(V10))+(V11))+(V12))+(V13))+(V14)+V7</f>
        <v>10832</v>
      </c>
      <c r="W15" s="33">
        <f t="shared" si="18"/>
        <v>2500</v>
      </c>
      <c r="X15" s="33">
        <f t="shared" si="18"/>
        <v>1311</v>
      </c>
      <c r="Y15" s="26">
        <f t="shared" si="4"/>
        <v>14643</v>
      </c>
      <c r="Z15" s="25">
        <f t="shared" ref="Z15:AA15" si="19">(((((Z9)+(Z10))+(Z11))+(Z12))+(Z13))+(Z14)+Z7</f>
        <v>24215</v>
      </c>
      <c r="AA15" s="33">
        <f t="shared" si="19"/>
        <v>1000</v>
      </c>
      <c r="AB15" s="26">
        <f t="shared" si="10"/>
        <v>124773</v>
      </c>
      <c r="AC15" s="25">
        <f t="shared" ref="AC15" si="20">(((((AC9)+(AC10))+(AC11))+(AC12))+(AC13))+(AC14)+AC7</f>
        <v>1093.2600000000002</v>
      </c>
      <c r="AD15" s="33">
        <f t="shared" ref="AD15" si="21">(((((AD9)+(AD10))+(AD11))+(AD12))+(AD13))+(AD14)+AD7</f>
        <v>8482</v>
      </c>
      <c r="AE15" s="33">
        <f>(((((AE9)+(AE10))+(AE11))+(AE12))+(AE13))+(AE14)+AE7</f>
        <v>26477</v>
      </c>
      <c r="AF15" s="33">
        <f t="shared" ref="AF15" si="22">(((((AF9)+(AF10))+(AF11))+(AF12))+(AF13))+(AF14)+AF7</f>
        <v>4535</v>
      </c>
      <c r="AG15" s="33">
        <f t="shared" ref="AG15" si="23">(((((AG9)+(AG10))+(AG11))+(AG12))+(AG13))+(AG14)+AG7</f>
        <v>100</v>
      </c>
      <c r="AH15" s="33">
        <f t="shared" ref="AH15" si="24">(((((AH9)+(AH10))+(AH11))+(AH12))+(AH13))+(AH14)+AH7</f>
        <v>975</v>
      </c>
      <c r="AI15" s="26">
        <f t="shared" si="5"/>
        <v>41662.26</v>
      </c>
      <c r="AJ15" s="33">
        <f>(((((AJ9)+(AJ10))+(AJ11))+(AJ12))+(AJ13))+(AJ14)</f>
        <v>0</v>
      </c>
      <c r="AK15" s="25">
        <f t="shared" ref="AK15" si="25">(((((AK9)+(AK10))+(AK11))+(AK12))+(AK13))+(AK14)+AK7</f>
        <v>1579</v>
      </c>
      <c r="AL15" s="26">
        <f t="shared" si="6"/>
        <v>1579</v>
      </c>
      <c r="AM15" s="50">
        <f t="shared" si="8"/>
        <v>168014.26</v>
      </c>
    </row>
    <row r="16" spans="1:42" x14ac:dyDescent="0.3">
      <c r="A16" s="3" t="s">
        <v>51</v>
      </c>
      <c r="B16" s="23"/>
      <c r="C16" s="24"/>
      <c r="D16" s="4"/>
      <c r="E16" s="23"/>
      <c r="F16" s="4"/>
      <c r="G16" s="24"/>
      <c r="H16" s="4"/>
      <c r="I16" s="23"/>
      <c r="J16" s="4"/>
      <c r="K16" s="4"/>
      <c r="L16" s="4"/>
      <c r="M16" s="24"/>
      <c r="N16" s="4"/>
      <c r="O16" s="23"/>
      <c r="P16" s="24"/>
      <c r="Q16" s="4"/>
      <c r="R16" s="23"/>
      <c r="S16" s="4"/>
      <c r="T16" s="24"/>
      <c r="U16" s="4"/>
      <c r="V16" s="23"/>
      <c r="W16" s="4"/>
      <c r="X16" s="4"/>
      <c r="Y16" s="24"/>
      <c r="Z16" s="23"/>
      <c r="AA16" s="4"/>
      <c r="AB16" s="24"/>
      <c r="AC16" s="23"/>
      <c r="AD16" s="4"/>
      <c r="AE16" s="4"/>
      <c r="AF16" s="4"/>
      <c r="AG16" s="4"/>
      <c r="AH16" s="4"/>
      <c r="AI16" s="24"/>
      <c r="AJ16" s="4"/>
      <c r="AK16" s="23"/>
      <c r="AL16" s="24"/>
      <c r="AM16" s="51"/>
    </row>
    <row r="17" spans="1:39" x14ac:dyDescent="0.3">
      <c r="A17" s="3" t="s">
        <v>52</v>
      </c>
      <c r="B17" s="23"/>
      <c r="C17" s="24"/>
      <c r="D17" s="4"/>
      <c r="E17" s="23"/>
      <c r="F17" s="5">
        <f>194.02</f>
        <v>194.02</v>
      </c>
      <c r="G17" s="22">
        <f t="shared" ref="G17:G29" si="26">((D17)+(E17))+(F17)</f>
        <v>194.02</v>
      </c>
      <c r="H17" s="4"/>
      <c r="I17" s="21">
        <f>25.4</f>
        <v>25.4</v>
      </c>
      <c r="J17" s="4"/>
      <c r="K17" s="4"/>
      <c r="L17" s="4"/>
      <c r="M17" s="22">
        <f t="shared" ref="M17:M29" si="27">((((H17)+(I17))+(J17))+(K17))+(L17)</f>
        <v>25.4</v>
      </c>
      <c r="N17" s="4"/>
      <c r="O17" s="23"/>
      <c r="P17" s="22">
        <f t="shared" ref="P17:P29" si="28">(N17)+(O17)</f>
        <v>0</v>
      </c>
      <c r="Q17" s="4"/>
      <c r="R17" s="23"/>
      <c r="S17" s="4"/>
      <c r="T17" s="22">
        <f t="shared" ref="T17:T29" si="29">((Q17)+(R17))+(S17)</f>
        <v>0</v>
      </c>
      <c r="U17" s="4"/>
      <c r="V17" s="23"/>
      <c r="W17" s="4"/>
      <c r="X17" s="4"/>
      <c r="Y17" s="22">
        <f t="shared" ref="Y17:Y29" si="30">(((U17)+(V17))+(W17))+(X17)</f>
        <v>0</v>
      </c>
      <c r="Z17" s="21">
        <f>24.99</f>
        <v>24.99</v>
      </c>
      <c r="AA17" s="4"/>
      <c r="AB17" s="22">
        <f t="shared" ref="AB17:AB29" si="31">((((((((B17)+(C17))+(G17))+(M17))+(P17))+(T17))+(Y17))+(Z17))+(AA17)</f>
        <v>244.41000000000003</v>
      </c>
      <c r="AC17" s="23"/>
      <c r="AD17" s="4"/>
      <c r="AE17" s="4"/>
      <c r="AF17" s="4"/>
      <c r="AG17" s="4"/>
      <c r="AH17" s="4"/>
      <c r="AI17" s="22">
        <f t="shared" ref="AI17:AI29" si="32">(((((AC17)+(AD17))+(AE17))+(AF17))+(AG17))+(AH17)</f>
        <v>0</v>
      </c>
      <c r="AJ17" s="4"/>
      <c r="AK17" s="23"/>
      <c r="AL17" s="22">
        <f t="shared" ref="AL17:AL29" si="33">(AJ17)+(AK17)</f>
        <v>0</v>
      </c>
      <c r="AM17" s="49">
        <f t="shared" ref="AM17:AM28" si="34">((AB17)+(AI17))+(AL17)</f>
        <v>244.41000000000003</v>
      </c>
    </row>
    <row r="18" spans="1:39" x14ac:dyDescent="0.3">
      <c r="A18" s="3" t="s">
        <v>53</v>
      </c>
      <c r="B18" s="23"/>
      <c r="C18" s="24"/>
      <c r="D18" s="4"/>
      <c r="E18" s="21">
        <f>97.98</f>
        <v>97.98</v>
      </c>
      <c r="F18" s="4"/>
      <c r="G18" s="22">
        <f t="shared" si="26"/>
        <v>97.98</v>
      </c>
      <c r="H18" s="4"/>
      <c r="I18" s="23"/>
      <c r="J18" s="4"/>
      <c r="K18" s="4"/>
      <c r="L18" s="4"/>
      <c r="M18" s="22">
        <f t="shared" si="27"/>
        <v>0</v>
      </c>
      <c r="N18" s="4"/>
      <c r="O18" s="23"/>
      <c r="P18" s="22">
        <f t="shared" si="28"/>
        <v>0</v>
      </c>
      <c r="Q18" s="4"/>
      <c r="R18" s="23"/>
      <c r="S18" s="4"/>
      <c r="T18" s="22">
        <f t="shared" si="29"/>
        <v>0</v>
      </c>
      <c r="U18" s="4"/>
      <c r="V18" s="23"/>
      <c r="W18" s="4"/>
      <c r="X18" s="4"/>
      <c r="Y18" s="22">
        <f t="shared" si="30"/>
        <v>0</v>
      </c>
      <c r="Z18" s="23"/>
      <c r="AA18" s="4"/>
      <c r="AB18" s="22">
        <f t="shared" si="31"/>
        <v>97.98</v>
      </c>
      <c r="AC18" s="23"/>
      <c r="AD18" s="4"/>
      <c r="AE18" s="4"/>
      <c r="AF18" s="4"/>
      <c r="AG18" s="4"/>
      <c r="AH18" s="4"/>
      <c r="AI18" s="22">
        <f t="shared" si="32"/>
        <v>0</v>
      </c>
      <c r="AJ18" s="4"/>
      <c r="AK18" s="23"/>
      <c r="AL18" s="22">
        <f t="shared" si="33"/>
        <v>0</v>
      </c>
      <c r="AM18" s="49">
        <f t="shared" si="34"/>
        <v>97.98</v>
      </c>
    </row>
    <row r="19" spans="1:39" x14ac:dyDescent="0.3">
      <c r="A19" s="3" t="s">
        <v>54</v>
      </c>
      <c r="B19" s="23"/>
      <c r="C19" s="24"/>
      <c r="D19" s="4"/>
      <c r="E19" s="21">
        <f>8586</f>
        <v>8586</v>
      </c>
      <c r="F19" s="5">
        <f>5980</f>
        <v>5980</v>
      </c>
      <c r="G19" s="22">
        <f t="shared" si="26"/>
        <v>14566</v>
      </c>
      <c r="H19" s="4"/>
      <c r="I19" s="21">
        <f>1188.15</f>
        <v>1188.1500000000001</v>
      </c>
      <c r="J19" s="5">
        <f>997.04</f>
        <v>997.04</v>
      </c>
      <c r="K19" s="5">
        <f>744.15</f>
        <v>744.15</v>
      </c>
      <c r="L19" s="5">
        <f>330</f>
        <v>330</v>
      </c>
      <c r="M19" s="22">
        <f t="shared" si="27"/>
        <v>3259.34</v>
      </c>
      <c r="N19" s="4"/>
      <c r="O19" s="23"/>
      <c r="P19" s="22">
        <f t="shared" si="28"/>
        <v>0</v>
      </c>
      <c r="Q19" s="4"/>
      <c r="R19" s="23"/>
      <c r="S19" s="4"/>
      <c r="T19" s="22">
        <f t="shared" si="29"/>
        <v>0</v>
      </c>
      <c r="U19" s="4"/>
      <c r="V19" s="21">
        <f>3549.6</f>
        <v>3549.6</v>
      </c>
      <c r="W19" s="5">
        <f>660+544.88+120</f>
        <v>1324.88</v>
      </c>
      <c r="X19" s="4"/>
      <c r="Y19" s="22">
        <f t="shared" si="30"/>
        <v>4874.4799999999996</v>
      </c>
      <c r="Z19" s="21">
        <f>1752.22</f>
        <v>1752.22</v>
      </c>
      <c r="AA19" s="5">
        <f>221.11</f>
        <v>221.11</v>
      </c>
      <c r="AB19" s="22">
        <f t="shared" si="31"/>
        <v>24673.15</v>
      </c>
      <c r="AC19" s="21">
        <f>1805.5-752.7-544.88-120</f>
        <v>387.91999999999996</v>
      </c>
      <c r="AD19" s="4"/>
      <c r="AE19" s="5">
        <f>16281</f>
        <v>16281</v>
      </c>
      <c r="AF19" s="4">
        <v>752.7</v>
      </c>
      <c r="AG19" s="4"/>
      <c r="AH19" s="5">
        <f>375</f>
        <v>375</v>
      </c>
      <c r="AI19" s="22">
        <f t="shared" si="32"/>
        <v>17796.62</v>
      </c>
      <c r="AJ19" s="4"/>
      <c r="AK19" s="21">
        <f>136.25</f>
        <v>136.25</v>
      </c>
      <c r="AL19" s="22">
        <f t="shared" si="33"/>
        <v>136.25</v>
      </c>
      <c r="AM19" s="49">
        <f t="shared" si="34"/>
        <v>42606.020000000004</v>
      </c>
    </row>
    <row r="20" spans="1:39" x14ac:dyDescent="0.3">
      <c r="A20" s="3" t="s">
        <v>55</v>
      </c>
      <c r="B20" s="23"/>
      <c r="C20" s="24"/>
      <c r="D20" s="4"/>
      <c r="E20" s="21">
        <v>485</v>
      </c>
      <c r="F20" s="4"/>
      <c r="G20" s="22">
        <f t="shared" si="26"/>
        <v>485</v>
      </c>
      <c r="H20" s="4"/>
      <c r="I20" s="23"/>
      <c r="J20" s="4"/>
      <c r="K20" s="4"/>
      <c r="L20" s="4"/>
      <c r="M20" s="22">
        <f t="shared" si="27"/>
        <v>0</v>
      </c>
      <c r="N20" s="4"/>
      <c r="O20" s="23"/>
      <c r="P20" s="22">
        <f t="shared" si="28"/>
        <v>0</v>
      </c>
      <c r="Q20" s="4"/>
      <c r="R20" s="23"/>
      <c r="S20" s="4"/>
      <c r="T20" s="22">
        <f t="shared" si="29"/>
        <v>0</v>
      </c>
      <c r="U20" s="4"/>
      <c r="V20" s="23"/>
      <c r="W20" s="4"/>
      <c r="X20" s="4"/>
      <c r="Y20" s="22">
        <f t="shared" si="30"/>
        <v>0</v>
      </c>
      <c r="Z20" s="23"/>
      <c r="AA20" s="4"/>
      <c r="AB20" s="22">
        <f t="shared" si="31"/>
        <v>485</v>
      </c>
      <c r="AC20" s="23"/>
      <c r="AD20" s="4"/>
      <c r="AE20" s="4"/>
      <c r="AF20" s="4"/>
      <c r="AG20" s="4"/>
      <c r="AH20" s="4"/>
      <c r="AI20" s="22">
        <f t="shared" si="32"/>
        <v>0</v>
      </c>
      <c r="AJ20" s="4"/>
      <c r="AK20" s="23"/>
      <c r="AL20" s="22">
        <f t="shared" si="33"/>
        <v>0</v>
      </c>
      <c r="AM20" s="49">
        <f t="shared" si="34"/>
        <v>485</v>
      </c>
    </row>
    <row r="21" spans="1:39" x14ac:dyDescent="0.3">
      <c r="A21" s="3" t="s">
        <v>56</v>
      </c>
      <c r="B21" s="23"/>
      <c r="C21" s="24"/>
      <c r="D21" s="4"/>
      <c r="E21" s="21">
        <f>1051.4</f>
        <v>1051.4000000000001</v>
      </c>
      <c r="F21" s="4"/>
      <c r="G21" s="22">
        <f t="shared" si="26"/>
        <v>1051.4000000000001</v>
      </c>
      <c r="H21" s="4"/>
      <c r="I21" s="23"/>
      <c r="J21" s="4"/>
      <c r="K21" s="4"/>
      <c r="L21" s="4"/>
      <c r="M21" s="22">
        <f t="shared" si="27"/>
        <v>0</v>
      </c>
      <c r="N21" s="4"/>
      <c r="O21" s="23"/>
      <c r="P21" s="22">
        <f t="shared" si="28"/>
        <v>0</v>
      </c>
      <c r="Q21" s="4"/>
      <c r="R21" s="23"/>
      <c r="S21" s="4"/>
      <c r="T21" s="22">
        <f t="shared" si="29"/>
        <v>0</v>
      </c>
      <c r="U21" s="4"/>
      <c r="V21" s="21">
        <f>300</f>
        <v>300</v>
      </c>
      <c r="W21" s="4"/>
      <c r="X21" s="4"/>
      <c r="Y21" s="22">
        <f t="shared" si="30"/>
        <v>300</v>
      </c>
      <c r="Z21" s="23"/>
      <c r="AA21" s="4"/>
      <c r="AB21" s="22">
        <f t="shared" si="31"/>
        <v>1351.4</v>
      </c>
      <c r="AC21" s="23"/>
      <c r="AD21" s="4"/>
      <c r="AE21" s="4"/>
      <c r="AF21" s="4"/>
      <c r="AG21" s="4"/>
      <c r="AH21" s="4"/>
      <c r="AI21" s="22">
        <f t="shared" si="32"/>
        <v>0</v>
      </c>
      <c r="AJ21" s="4"/>
      <c r="AK21" s="23"/>
      <c r="AL21" s="22">
        <f t="shared" si="33"/>
        <v>0</v>
      </c>
      <c r="AM21" s="49">
        <f t="shared" si="34"/>
        <v>1351.4</v>
      </c>
    </row>
    <row r="22" spans="1:39" x14ac:dyDescent="0.3">
      <c r="A22" s="3" t="s">
        <v>57</v>
      </c>
      <c r="B22" s="23"/>
      <c r="C22" s="24"/>
      <c r="D22" s="4"/>
      <c r="E22" s="23"/>
      <c r="F22" s="4"/>
      <c r="G22" s="22">
        <f t="shared" si="26"/>
        <v>0</v>
      </c>
      <c r="H22" s="4"/>
      <c r="I22" s="23"/>
      <c r="J22" s="4"/>
      <c r="K22" s="4"/>
      <c r="L22" s="4"/>
      <c r="M22" s="22">
        <f t="shared" si="27"/>
        <v>0</v>
      </c>
      <c r="N22" s="4"/>
      <c r="O22" s="23"/>
      <c r="P22" s="22">
        <f t="shared" si="28"/>
        <v>0</v>
      </c>
      <c r="Q22" s="4"/>
      <c r="R22" s="23"/>
      <c r="S22" s="4"/>
      <c r="T22" s="22">
        <f t="shared" si="29"/>
        <v>0</v>
      </c>
      <c r="U22" s="4"/>
      <c r="V22" s="21">
        <f>65.96</f>
        <v>65.959999999999994</v>
      </c>
      <c r="W22" s="4"/>
      <c r="X22" s="4"/>
      <c r="Y22" s="22">
        <f t="shared" si="30"/>
        <v>65.959999999999994</v>
      </c>
      <c r="Z22" s="23"/>
      <c r="AA22" s="4"/>
      <c r="AB22" s="22">
        <f t="shared" si="31"/>
        <v>65.959999999999994</v>
      </c>
      <c r="AC22" s="21">
        <f>185.76</f>
        <v>185.76</v>
      </c>
      <c r="AD22" s="4"/>
      <c r="AE22" s="4"/>
      <c r="AF22" s="4"/>
      <c r="AG22" s="4"/>
      <c r="AH22" s="4"/>
      <c r="AI22" s="22">
        <f t="shared" si="32"/>
        <v>185.76</v>
      </c>
      <c r="AJ22" s="4"/>
      <c r="AK22" s="23"/>
      <c r="AL22" s="22">
        <f t="shared" si="33"/>
        <v>0</v>
      </c>
      <c r="AM22" s="49">
        <f t="shared" si="34"/>
        <v>251.71999999999997</v>
      </c>
    </row>
    <row r="23" spans="1:39" x14ac:dyDescent="0.3">
      <c r="A23" s="3" t="s">
        <v>58</v>
      </c>
      <c r="B23" s="23"/>
      <c r="C23" s="24"/>
      <c r="D23" s="4"/>
      <c r="E23" s="21">
        <f>94.95</f>
        <v>94.95</v>
      </c>
      <c r="F23" s="5">
        <f>498.73</f>
        <v>498.73</v>
      </c>
      <c r="G23" s="22">
        <f t="shared" si="26"/>
        <v>593.68000000000006</v>
      </c>
      <c r="H23" s="4"/>
      <c r="I23" s="23"/>
      <c r="J23" s="4"/>
      <c r="K23" s="4"/>
      <c r="L23" s="4"/>
      <c r="M23" s="22">
        <f t="shared" si="27"/>
        <v>0</v>
      </c>
      <c r="N23" s="4"/>
      <c r="O23" s="23"/>
      <c r="P23" s="22">
        <f t="shared" si="28"/>
        <v>0</v>
      </c>
      <c r="Q23" s="4"/>
      <c r="R23" s="23"/>
      <c r="S23" s="4"/>
      <c r="T23" s="22">
        <f t="shared" si="29"/>
        <v>0</v>
      </c>
      <c r="U23" s="4"/>
      <c r="V23" s="23"/>
      <c r="W23" s="4">
        <f>202.96+56.22</f>
        <v>259.18</v>
      </c>
      <c r="X23" s="4"/>
      <c r="Y23" s="22">
        <f t="shared" si="30"/>
        <v>259.18</v>
      </c>
      <c r="Z23" s="23"/>
      <c r="AA23" s="4"/>
      <c r="AB23" s="22">
        <f t="shared" si="31"/>
        <v>852.86000000000013</v>
      </c>
      <c r="AC23" s="21">
        <f>321.19-202.96-56.22</f>
        <v>62.009999999999991</v>
      </c>
      <c r="AD23" s="4"/>
      <c r="AE23" s="5">
        <f>147</f>
        <v>147</v>
      </c>
      <c r="AF23" s="4"/>
      <c r="AG23" s="4"/>
      <c r="AH23" s="4"/>
      <c r="AI23" s="22">
        <f t="shared" si="32"/>
        <v>209.01</v>
      </c>
      <c r="AJ23" s="4"/>
      <c r="AK23" s="23"/>
      <c r="AL23" s="22">
        <f t="shared" si="33"/>
        <v>0</v>
      </c>
      <c r="AM23" s="49">
        <f t="shared" si="34"/>
        <v>1061.8700000000001</v>
      </c>
    </row>
    <row r="24" spans="1:39" x14ac:dyDescent="0.3">
      <c r="A24" s="3" t="s">
        <v>59</v>
      </c>
      <c r="B24" s="23"/>
      <c r="C24" s="24"/>
      <c r="D24" s="4"/>
      <c r="E24" s="23"/>
      <c r="F24" s="5">
        <f>84.69</f>
        <v>84.69</v>
      </c>
      <c r="G24" s="22">
        <f t="shared" si="26"/>
        <v>84.69</v>
      </c>
      <c r="H24" s="4"/>
      <c r="I24" s="21">
        <f>121</f>
        <v>121</v>
      </c>
      <c r="J24" s="4"/>
      <c r="K24" s="5">
        <f>121</f>
        <v>121</v>
      </c>
      <c r="L24" s="4"/>
      <c r="M24" s="22">
        <f t="shared" si="27"/>
        <v>242</v>
      </c>
      <c r="N24" s="4"/>
      <c r="O24" s="23"/>
      <c r="P24" s="22">
        <f t="shared" si="28"/>
        <v>0</v>
      </c>
      <c r="Q24" s="4"/>
      <c r="R24" s="23"/>
      <c r="S24" s="4"/>
      <c r="T24" s="22">
        <f t="shared" si="29"/>
        <v>0</v>
      </c>
      <c r="U24" s="4"/>
      <c r="V24" s="23"/>
      <c r="W24" s="5">
        <f>181.41</f>
        <v>181.41</v>
      </c>
      <c r="X24" s="4"/>
      <c r="Y24" s="22">
        <f t="shared" si="30"/>
        <v>181.41</v>
      </c>
      <c r="Z24" s="23"/>
      <c r="AA24" s="4"/>
      <c r="AB24" s="22">
        <f t="shared" si="31"/>
        <v>508.1</v>
      </c>
      <c r="AC24" s="21">
        <f>237.87-237.87</f>
        <v>0</v>
      </c>
      <c r="AD24" s="4"/>
      <c r="AE24" s="4"/>
      <c r="AF24" s="5">
        <f>1297.87+237.87</f>
        <v>1535.7399999999998</v>
      </c>
      <c r="AG24" s="4"/>
      <c r="AH24" s="4"/>
      <c r="AI24" s="22">
        <f t="shared" si="32"/>
        <v>1535.7399999999998</v>
      </c>
      <c r="AJ24" s="4"/>
      <c r="AK24" s="23"/>
      <c r="AL24" s="22">
        <f t="shared" si="33"/>
        <v>0</v>
      </c>
      <c r="AM24" s="49">
        <f t="shared" si="34"/>
        <v>2043.8399999999997</v>
      </c>
    </row>
    <row r="25" spans="1:39" x14ac:dyDescent="0.3">
      <c r="A25" s="3" t="s">
        <v>60</v>
      </c>
      <c r="B25" s="23"/>
      <c r="C25" s="24"/>
      <c r="D25" s="4"/>
      <c r="E25" s="21">
        <f>2301.3</f>
        <v>2301.3000000000002</v>
      </c>
      <c r="F25" s="5">
        <f>1152.18</f>
        <v>1152.18</v>
      </c>
      <c r="G25" s="22">
        <f t="shared" si="26"/>
        <v>3453.4800000000005</v>
      </c>
      <c r="H25" s="4"/>
      <c r="I25" s="23"/>
      <c r="J25" s="4"/>
      <c r="K25" s="4"/>
      <c r="L25" s="4"/>
      <c r="M25" s="22">
        <f t="shared" si="27"/>
        <v>0</v>
      </c>
      <c r="N25" s="4"/>
      <c r="O25" s="23"/>
      <c r="P25" s="22">
        <f t="shared" si="28"/>
        <v>0</v>
      </c>
      <c r="Q25" s="4"/>
      <c r="R25" s="23"/>
      <c r="S25" s="4"/>
      <c r="T25" s="22">
        <f t="shared" si="29"/>
        <v>0</v>
      </c>
      <c r="U25" s="4"/>
      <c r="V25" s="23"/>
      <c r="W25" s="4"/>
      <c r="X25" s="4"/>
      <c r="Y25" s="22">
        <f t="shared" si="30"/>
        <v>0</v>
      </c>
      <c r="Z25" s="23"/>
      <c r="AA25" s="4"/>
      <c r="AB25" s="22">
        <f t="shared" si="31"/>
        <v>3453.4800000000005</v>
      </c>
      <c r="AC25" s="23"/>
      <c r="AD25" s="4"/>
      <c r="AE25" s="4"/>
      <c r="AF25" s="4"/>
      <c r="AG25" s="4"/>
      <c r="AH25" s="4"/>
      <c r="AI25" s="22">
        <f t="shared" si="32"/>
        <v>0</v>
      </c>
      <c r="AJ25" s="4"/>
      <c r="AK25" s="23"/>
      <c r="AL25" s="22">
        <f t="shared" si="33"/>
        <v>0</v>
      </c>
      <c r="AM25" s="49">
        <f t="shared" si="34"/>
        <v>3453.4800000000005</v>
      </c>
    </row>
    <row r="26" spans="1:39" x14ac:dyDescent="0.3">
      <c r="A26" s="3" t="s">
        <v>61</v>
      </c>
      <c r="B26" s="23"/>
      <c r="C26" s="24"/>
      <c r="D26" s="4"/>
      <c r="E26" s="21">
        <f>370</f>
        <v>370</v>
      </c>
      <c r="F26" s="4"/>
      <c r="G26" s="22">
        <f t="shared" si="26"/>
        <v>370</v>
      </c>
      <c r="H26" s="4"/>
      <c r="I26" s="23"/>
      <c r="J26" s="4"/>
      <c r="K26" s="4"/>
      <c r="L26" s="4"/>
      <c r="M26" s="22">
        <f t="shared" si="27"/>
        <v>0</v>
      </c>
      <c r="N26" s="4"/>
      <c r="O26" s="23"/>
      <c r="P26" s="22">
        <f t="shared" si="28"/>
        <v>0</v>
      </c>
      <c r="Q26" s="4"/>
      <c r="R26" s="23"/>
      <c r="S26" s="4"/>
      <c r="T26" s="22">
        <f t="shared" si="29"/>
        <v>0</v>
      </c>
      <c r="U26" s="4"/>
      <c r="V26" s="23"/>
      <c r="W26" s="4"/>
      <c r="X26" s="4"/>
      <c r="Y26" s="22">
        <f t="shared" si="30"/>
        <v>0</v>
      </c>
      <c r="Z26" s="21">
        <f>661.52</f>
        <v>661.52</v>
      </c>
      <c r="AA26" s="4"/>
      <c r="AB26" s="22">
        <f t="shared" si="31"/>
        <v>1031.52</v>
      </c>
      <c r="AC26" s="23"/>
      <c r="AD26" s="4"/>
      <c r="AE26" s="4"/>
      <c r="AF26" s="4"/>
      <c r="AG26" s="4"/>
      <c r="AH26" s="4"/>
      <c r="AI26" s="22">
        <f t="shared" si="32"/>
        <v>0</v>
      </c>
      <c r="AJ26" s="4"/>
      <c r="AK26" s="23"/>
      <c r="AL26" s="22">
        <f t="shared" si="33"/>
        <v>0</v>
      </c>
      <c r="AM26" s="49">
        <f t="shared" si="34"/>
        <v>1031.52</v>
      </c>
    </row>
    <row r="27" spans="1:39" x14ac:dyDescent="0.3">
      <c r="A27" s="3" t="s">
        <v>62</v>
      </c>
      <c r="B27" s="23"/>
      <c r="C27" s="24"/>
      <c r="D27" s="4"/>
      <c r="E27" s="21">
        <f>3104.4</f>
        <v>3104.4</v>
      </c>
      <c r="F27" s="4"/>
      <c r="G27" s="22">
        <f t="shared" si="26"/>
        <v>3104.4</v>
      </c>
      <c r="H27" s="4"/>
      <c r="I27" s="23"/>
      <c r="J27" s="4"/>
      <c r="K27" s="4"/>
      <c r="L27" s="4"/>
      <c r="M27" s="22">
        <f t="shared" si="27"/>
        <v>0</v>
      </c>
      <c r="N27" s="4"/>
      <c r="O27" s="23"/>
      <c r="P27" s="22">
        <f t="shared" si="28"/>
        <v>0</v>
      </c>
      <c r="Q27" s="4"/>
      <c r="R27" s="23"/>
      <c r="S27" s="4"/>
      <c r="T27" s="22">
        <f t="shared" si="29"/>
        <v>0</v>
      </c>
      <c r="U27" s="4"/>
      <c r="V27" s="23"/>
      <c r="W27" s="4"/>
      <c r="X27" s="4"/>
      <c r="Y27" s="22">
        <f t="shared" si="30"/>
        <v>0</v>
      </c>
      <c r="Z27" s="23"/>
      <c r="AA27" s="4"/>
      <c r="AB27" s="22">
        <f t="shared" si="31"/>
        <v>3104.4</v>
      </c>
      <c r="AC27" s="23"/>
      <c r="AD27" s="4"/>
      <c r="AE27" s="4"/>
      <c r="AF27" s="4"/>
      <c r="AG27" s="4"/>
      <c r="AH27" s="4"/>
      <c r="AI27" s="22">
        <f t="shared" si="32"/>
        <v>0</v>
      </c>
      <c r="AJ27" s="4"/>
      <c r="AK27" s="23"/>
      <c r="AL27" s="22">
        <f t="shared" si="33"/>
        <v>0</v>
      </c>
      <c r="AM27" s="49">
        <f t="shared" si="34"/>
        <v>3104.4</v>
      </c>
    </row>
    <row r="28" spans="1:39" x14ac:dyDescent="0.3">
      <c r="A28" s="3" t="s">
        <v>63</v>
      </c>
      <c r="B28" s="25">
        <f>((((((((((B17)+(B18))+(B19))+(B20))+(B21))+(B22))+(B23))+(B24))+(B25))+(B26))+(B27)</f>
        <v>0</v>
      </c>
      <c r="C28" s="26">
        <f>((((((((((C17)+(C18))+(C19))+(C20))+(C21))+(C22))+(C23))+(C24))+(C25))+(C26))+(C27)</f>
        <v>0</v>
      </c>
      <c r="D28" s="33">
        <f>((((((((((D17)+(D18))+(D19))+(D20))+(D21))+(D22))+(D23))+(D24))+(D25))+(D26))+(D27)</f>
        <v>0</v>
      </c>
      <c r="E28" s="25">
        <f>((((((((((E17)+(E18))+(E19))+(E20))+(E21))+(E22))+(E23))+(E24))+(E25))+(E26))+(E27)</f>
        <v>16091.03</v>
      </c>
      <c r="F28" s="33">
        <f>((((((((((F17)+(F18))+(F19))+(F20))+(F21))+(F22))+(F23))+(F24))+(F25))+(F26))+(F27)</f>
        <v>7909.62</v>
      </c>
      <c r="G28" s="26">
        <f t="shared" si="26"/>
        <v>24000.65</v>
      </c>
      <c r="H28" s="33">
        <f>((((((((((H17)+(H18))+(H19))+(H20))+(H21))+(H22))+(H23))+(H24))+(H25))+(H26))+(H27)</f>
        <v>0</v>
      </c>
      <c r="I28" s="25">
        <f>((((((((((I17)+(I18))+(I19))+(I20))+(I21))+(I22))+(I23))+(I24))+(I25))+(I26))+(I27)</f>
        <v>1334.5500000000002</v>
      </c>
      <c r="J28" s="33">
        <f>((((((((((J17)+(J18))+(J19))+(J20))+(J21))+(J22))+(J23))+(J24))+(J25))+(J26))+(J27)</f>
        <v>997.04</v>
      </c>
      <c r="K28" s="33">
        <f>((((((((((K17)+(K18))+(K19))+(K20))+(K21))+(K22))+(K23))+(K24))+(K25))+(K26))+(K27)</f>
        <v>865.15</v>
      </c>
      <c r="L28" s="33">
        <f>((((((((((L17)+(L18))+(L19))+(L20))+(L21))+(L22))+(L23))+(L24))+(L25))+(L26))+(L27)</f>
        <v>330</v>
      </c>
      <c r="M28" s="26">
        <f t="shared" si="27"/>
        <v>3526.7400000000002</v>
      </c>
      <c r="N28" s="33">
        <f>((((((((((N17)+(N18))+(N19))+(N20))+(N21))+(N22))+(N23))+(N24))+(N25))+(N26))+(N27)</f>
        <v>0</v>
      </c>
      <c r="O28" s="25">
        <f>((((((((((O17)+(O18))+(O19))+(O20))+(O21))+(O22))+(O23))+(O24))+(O25))+(O26))+(O27)</f>
        <v>0</v>
      </c>
      <c r="P28" s="26">
        <f t="shared" si="28"/>
        <v>0</v>
      </c>
      <c r="Q28" s="33">
        <f>((((((((((Q17)+(Q18))+(Q19))+(Q20))+(Q21))+(Q22))+(Q23))+(Q24))+(Q25))+(Q26))+(Q27)</f>
        <v>0</v>
      </c>
      <c r="R28" s="25">
        <f>((((((((((R17)+(R18))+(R19))+(R20))+(R21))+(R22))+(R23))+(R24))+(R25))+(R26))+(R27)</f>
        <v>0</v>
      </c>
      <c r="S28" s="33">
        <f>((((((((((S17)+(S18))+(S19))+(S20))+(S21))+(S22))+(S23))+(S24))+(S25))+(S26))+(S27)</f>
        <v>0</v>
      </c>
      <c r="T28" s="26">
        <f t="shared" si="29"/>
        <v>0</v>
      </c>
      <c r="U28" s="33">
        <f>((((((((((U17)+(U18))+(U19))+(U20))+(U21))+(U22))+(U23))+(U24))+(U25))+(U26))+(U27)</f>
        <v>0</v>
      </c>
      <c r="V28" s="25">
        <f>((((((((((V17)+(V18))+(V19))+(V20))+(V21))+(V22))+(V23))+(V24))+(V25))+(V26))+(V27)</f>
        <v>3915.56</v>
      </c>
      <c r="W28" s="33">
        <f>((((((((((W17)+(W18))+(W19))+(W20))+(W21))+(W22))+(W23))+(W24))+(W25))+(W26))+(W27)</f>
        <v>1765.4700000000003</v>
      </c>
      <c r="X28" s="33">
        <f>((((((((((X17)+(X18))+(X19))+(X20))+(X21))+(X22))+(X23))+(X24))+(X25))+(X26))+(X27)</f>
        <v>0</v>
      </c>
      <c r="Y28" s="26">
        <f t="shared" si="30"/>
        <v>5681.0300000000007</v>
      </c>
      <c r="Z28" s="25">
        <f>((((((((((Z17)+(Z18))+(Z19))+(Z20))+(Z21))+(Z22))+(Z23))+(Z24))+(Z25))+(Z26))+(Z27)</f>
        <v>2438.73</v>
      </c>
      <c r="AA28" s="33">
        <f>((((((((((AA17)+(AA18))+(AA19))+(AA20))+(AA21))+(AA22))+(AA23))+(AA24))+(AA25))+(AA26))+(AA27)</f>
        <v>221.11</v>
      </c>
      <c r="AB28" s="26">
        <f t="shared" si="31"/>
        <v>35868.260000000009</v>
      </c>
      <c r="AC28" s="25">
        <f t="shared" ref="AC28:AH28" si="35">((((((((((AC17)+(AC18))+(AC19))+(AC20))+(AC21))+(AC22))+(AC23))+(AC24))+(AC25))+(AC26))+(AC27)</f>
        <v>635.68999999999994</v>
      </c>
      <c r="AD28" s="33">
        <f t="shared" si="35"/>
        <v>0</v>
      </c>
      <c r="AE28" s="33">
        <f t="shared" si="35"/>
        <v>16428</v>
      </c>
      <c r="AF28" s="33">
        <f t="shared" si="35"/>
        <v>2288.4399999999996</v>
      </c>
      <c r="AG28" s="33">
        <f t="shared" si="35"/>
        <v>0</v>
      </c>
      <c r="AH28" s="33">
        <f t="shared" si="35"/>
        <v>375</v>
      </c>
      <c r="AI28" s="26">
        <f t="shared" si="32"/>
        <v>19727.129999999997</v>
      </c>
      <c r="AJ28" s="33">
        <f>((((((((((AJ17)+(AJ18))+(AJ19))+(AJ20))+(AJ21))+(AJ22))+(AJ23))+(AJ24))+(AJ25))+(AJ26))+(AJ27)</f>
        <v>0</v>
      </c>
      <c r="AK28" s="25">
        <f>((((((((((AK17)+(AK18))+(AK19))+(AK20))+(AK21))+(AK22))+(AK23))+(AK24))+(AK25))+(AK26))+(AK27)</f>
        <v>136.25</v>
      </c>
      <c r="AL28" s="26">
        <f t="shared" si="33"/>
        <v>136.25</v>
      </c>
      <c r="AM28" s="50">
        <f t="shared" si="34"/>
        <v>55731.640000000007</v>
      </c>
    </row>
    <row r="29" spans="1:39" x14ac:dyDescent="0.3">
      <c r="A29" s="3" t="s">
        <v>64</v>
      </c>
      <c r="B29" s="25">
        <f>(B15)-(B28)</f>
        <v>3345</v>
      </c>
      <c r="C29" s="26">
        <f>(C15)-(C28)</f>
        <v>11745</v>
      </c>
      <c r="D29" s="33">
        <f>(D15)-(D28)</f>
        <v>0</v>
      </c>
      <c r="E29" s="25">
        <f>(E15)-(E28)</f>
        <v>20690.97</v>
      </c>
      <c r="F29" s="33">
        <f>(F15)-(F28)</f>
        <v>9485.380000000001</v>
      </c>
      <c r="G29" s="26">
        <f t="shared" si="26"/>
        <v>30176.350000000002</v>
      </c>
      <c r="H29" s="33">
        <f>(H15)-(H28)</f>
        <v>0</v>
      </c>
      <c r="I29" s="25">
        <f>(I15)-(I28)</f>
        <v>5873.45</v>
      </c>
      <c r="J29" s="33">
        <f>(J15)-(J28)</f>
        <v>502.96000000000004</v>
      </c>
      <c r="K29" s="33">
        <f>(K15)-(K28)</f>
        <v>3634.85</v>
      </c>
      <c r="L29" s="33">
        <f>(L15)-(L28)</f>
        <v>1470</v>
      </c>
      <c r="M29" s="26">
        <f t="shared" si="27"/>
        <v>11481.26</v>
      </c>
      <c r="N29" s="33">
        <f>(N15)-(N28)</f>
        <v>0</v>
      </c>
      <c r="O29" s="25">
        <f>(O15)-(O28)</f>
        <v>0</v>
      </c>
      <c r="P29" s="26">
        <f t="shared" si="28"/>
        <v>0</v>
      </c>
      <c r="Q29" s="33">
        <f>(Q15)-(Q28)</f>
        <v>0</v>
      </c>
      <c r="R29" s="25">
        <f>(R15)-(R28)</f>
        <v>640</v>
      </c>
      <c r="S29" s="33">
        <f>(S15)-(S28)</f>
        <v>0</v>
      </c>
      <c r="T29" s="26">
        <f t="shared" si="29"/>
        <v>640</v>
      </c>
      <c r="U29" s="33">
        <f>(U15)-(U28)</f>
        <v>0</v>
      </c>
      <c r="V29" s="25">
        <f>(V15)-(V28)</f>
        <v>6916.4400000000005</v>
      </c>
      <c r="W29" s="33">
        <f>(W15)-(W28)</f>
        <v>734.52999999999975</v>
      </c>
      <c r="X29" s="33">
        <f>(X15)-(X28)</f>
        <v>1311</v>
      </c>
      <c r="Y29" s="26">
        <f t="shared" si="30"/>
        <v>8961.9700000000012</v>
      </c>
      <c r="Z29" s="25">
        <f>(Z15)-(Z28)</f>
        <v>21776.27</v>
      </c>
      <c r="AA29" s="33">
        <f>(AA15)-(AA28)</f>
        <v>778.89</v>
      </c>
      <c r="AB29" s="26">
        <f t="shared" si="31"/>
        <v>88904.74000000002</v>
      </c>
      <c r="AC29" s="25">
        <f t="shared" ref="AC29:AH29" si="36">(AC15)-(AC28)</f>
        <v>457.57000000000028</v>
      </c>
      <c r="AD29" s="33">
        <f t="shared" si="36"/>
        <v>8482</v>
      </c>
      <c r="AE29" s="33">
        <f t="shared" si="36"/>
        <v>10049</v>
      </c>
      <c r="AF29" s="33">
        <f t="shared" si="36"/>
        <v>2246.5600000000004</v>
      </c>
      <c r="AG29" s="33">
        <f t="shared" si="36"/>
        <v>100</v>
      </c>
      <c r="AH29" s="33">
        <f t="shared" si="36"/>
        <v>600</v>
      </c>
      <c r="AI29" s="26">
        <f t="shared" si="32"/>
        <v>21935.13</v>
      </c>
      <c r="AJ29" s="33">
        <f>(AJ15)-(AJ28)</f>
        <v>0</v>
      </c>
      <c r="AK29" s="25">
        <f>(AK15)-(AK28)</f>
        <v>1442.75</v>
      </c>
      <c r="AL29" s="26">
        <f t="shared" si="33"/>
        <v>1442.75</v>
      </c>
      <c r="AM29" s="50">
        <f>((AB29)+(AI29))+(AL29)</f>
        <v>112282.62000000002</v>
      </c>
    </row>
    <row r="30" spans="1:39" x14ac:dyDescent="0.3">
      <c r="A30" s="3" t="s">
        <v>65</v>
      </c>
      <c r="B30" s="23"/>
      <c r="C30" s="24"/>
      <c r="D30" s="4"/>
      <c r="E30" s="23"/>
      <c r="F30" s="4"/>
      <c r="G30" s="24"/>
      <c r="H30" s="4"/>
      <c r="I30" s="23"/>
      <c r="J30" s="4"/>
      <c r="K30" s="4"/>
      <c r="L30" s="4"/>
      <c r="M30" s="24"/>
      <c r="N30" s="4"/>
      <c r="O30" s="23"/>
      <c r="P30" s="24"/>
      <c r="Q30" s="4"/>
      <c r="R30" s="23"/>
      <c r="S30" s="4"/>
      <c r="T30" s="24"/>
      <c r="U30" s="4"/>
      <c r="V30" s="23"/>
      <c r="W30" s="4"/>
      <c r="X30" s="4"/>
      <c r="Y30" s="24"/>
      <c r="Z30" s="23"/>
      <c r="AA30" s="4"/>
      <c r="AB30" s="24"/>
      <c r="AC30" s="23"/>
      <c r="AD30" s="4"/>
      <c r="AE30" s="4"/>
      <c r="AF30" s="4"/>
      <c r="AG30" s="4"/>
      <c r="AH30" s="4"/>
      <c r="AI30" s="24"/>
      <c r="AJ30" s="4"/>
      <c r="AK30" s="23"/>
      <c r="AL30" s="24"/>
      <c r="AM30" s="51"/>
    </row>
    <row r="31" spans="1:39" x14ac:dyDescent="0.3">
      <c r="A31" s="3" t="s">
        <v>66</v>
      </c>
      <c r="B31" s="23"/>
      <c r="C31" s="24"/>
      <c r="D31" s="4"/>
      <c r="E31" s="23"/>
      <c r="F31" s="4"/>
      <c r="G31" s="22">
        <f t="shared" ref="G31:G60" si="37">((D31)+(E31))+(F31)</f>
        <v>0</v>
      </c>
      <c r="H31" s="4"/>
      <c r="I31" s="23"/>
      <c r="J31" s="4"/>
      <c r="K31" s="4"/>
      <c r="L31" s="4"/>
      <c r="M31" s="22">
        <f t="shared" ref="M31:M60" si="38">((((H31)+(I31))+(J31))+(K31))+(L31)</f>
        <v>0</v>
      </c>
      <c r="N31" s="4"/>
      <c r="O31" s="23"/>
      <c r="P31" s="22">
        <f t="shared" ref="P31:P60" si="39">(N31)+(O31)</f>
        <v>0</v>
      </c>
      <c r="Q31" s="4"/>
      <c r="R31" s="23"/>
      <c r="S31" s="4"/>
      <c r="T31" s="22">
        <f t="shared" ref="T31:T60" si="40">((Q31)+(R31))+(S31)</f>
        <v>0</v>
      </c>
      <c r="U31" s="4"/>
      <c r="V31" s="23"/>
      <c r="W31" s="4"/>
      <c r="X31" s="4"/>
      <c r="Y31" s="22">
        <f t="shared" ref="Y31:Y60" si="41">(((U31)+(V31))+(W31))+(X31)</f>
        <v>0</v>
      </c>
      <c r="Z31" s="23">
        <v>311.27999999999997</v>
      </c>
      <c r="AA31" s="4"/>
      <c r="AB31" s="22">
        <f t="shared" ref="AB31:AB60" si="42">((((((((B31)+(C31))+(G31))+(M31))+(P31))+(T31))+(Y31))+(Z31))+(AA31)</f>
        <v>311.27999999999997</v>
      </c>
      <c r="AC31" s="21">
        <f>311.28-311.28</f>
        <v>0</v>
      </c>
      <c r="AD31" s="4"/>
      <c r="AE31" s="4"/>
      <c r="AF31" s="4"/>
      <c r="AG31" s="4"/>
      <c r="AH31" s="4"/>
      <c r="AI31" s="22">
        <f t="shared" ref="AI31:AI59" si="43">(((((AC31)+(AD31))+(AE31))+(AF31))+(AG31))+(AH31)</f>
        <v>0</v>
      </c>
      <c r="AJ31" s="4"/>
      <c r="AK31" s="23"/>
      <c r="AL31" s="22">
        <f t="shared" ref="AL31:AL60" si="44">(AJ31)+(AK31)</f>
        <v>0</v>
      </c>
      <c r="AM31" s="49">
        <f t="shared" ref="AM31:AM60" si="45">((AB31)+(AI31))+(AL31)</f>
        <v>311.27999999999997</v>
      </c>
    </row>
    <row r="32" spans="1:39" x14ac:dyDescent="0.3">
      <c r="A32" s="3" t="s">
        <v>67</v>
      </c>
      <c r="B32" s="23"/>
      <c r="C32" s="24"/>
      <c r="D32" s="4"/>
      <c r="E32" s="23"/>
      <c r="F32" s="4"/>
      <c r="G32" s="22">
        <f t="shared" si="37"/>
        <v>0</v>
      </c>
      <c r="H32" s="4"/>
      <c r="I32" s="23">
        <v>101.39</v>
      </c>
      <c r="J32" s="4"/>
      <c r="K32" s="4"/>
      <c r="L32" s="4"/>
      <c r="M32" s="22">
        <f t="shared" si="38"/>
        <v>101.39</v>
      </c>
      <c r="N32" s="4"/>
      <c r="O32" s="23"/>
      <c r="P32" s="22">
        <f t="shared" si="39"/>
        <v>0</v>
      </c>
      <c r="Q32" s="4"/>
      <c r="R32" s="23"/>
      <c r="S32" s="4"/>
      <c r="T32" s="22">
        <f t="shared" si="40"/>
        <v>0</v>
      </c>
      <c r="U32" s="4"/>
      <c r="V32" s="23"/>
      <c r="W32" s="5">
        <f>16</f>
        <v>16</v>
      </c>
      <c r="X32" s="4"/>
      <c r="Y32" s="22">
        <f t="shared" si="41"/>
        <v>16</v>
      </c>
      <c r="Z32" s="23"/>
      <c r="AA32" s="4"/>
      <c r="AB32" s="22">
        <f t="shared" si="42"/>
        <v>117.39</v>
      </c>
      <c r="AC32" s="21">
        <f>101.39-101.39</f>
        <v>0</v>
      </c>
      <c r="AD32" s="4"/>
      <c r="AE32" s="4"/>
      <c r="AF32" s="4"/>
      <c r="AG32" s="4"/>
      <c r="AH32" s="4"/>
      <c r="AI32" s="22">
        <f t="shared" si="43"/>
        <v>0</v>
      </c>
      <c r="AJ32" s="4"/>
      <c r="AK32" s="23"/>
      <c r="AL32" s="22">
        <f t="shared" si="44"/>
        <v>0</v>
      </c>
      <c r="AM32" s="49">
        <f t="shared" si="45"/>
        <v>117.39</v>
      </c>
    </row>
    <row r="33" spans="1:39" x14ac:dyDescent="0.3">
      <c r="A33" s="3" t="s">
        <v>68</v>
      </c>
      <c r="B33" s="23"/>
      <c r="C33" s="24"/>
      <c r="D33" s="4"/>
      <c r="E33" s="21">
        <f>13598.99</f>
        <v>13598.99</v>
      </c>
      <c r="F33" s="4"/>
      <c r="G33" s="22">
        <f t="shared" si="37"/>
        <v>13598.99</v>
      </c>
      <c r="H33" s="4"/>
      <c r="I33" s="21">
        <f>264</f>
        <v>264</v>
      </c>
      <c r="J33" s="5">
        <f>206.51</f>
        <v>206.51</v>
      </c>
      <c r="K33" s="4"/>
      <c r="L33" s="4"/>
      <c r="M33" s="22">
        <f t="shared" si="38"/>
        <v>470.51</v>
      </c>
      <c r="N33" s="4"/>
      <c r="O33" s="23"/>
      <c r="P33" s="22">
        <f t="shared" si="39"/>
        <v>0</v>
      </c>
      <c r="Q33" s="4"/>
      <c r="R33" s="23"/>
      <c r="S33" s="4"/>
      <c r="T33" s="22">
        <f t="shared" si="40"/>
        <v>0</v>
      </c>
      <c r="U33" s="4"/>
      <c r="V33" s="23"/>
      <c r="W33" s="4"/>
      <c r="X33" s="4"/>
      <c r="Y33" s="22">
        <f t="shared" si="41"/>
        <v>0</v>
      </c>
      <c r="Z33" s="21">
        <f>948</f>
        <v>948</v>
      </c>
      <c r="AA33" s="4"/>
      <c r="AB33" s="22">
        <f t="shared" si="42"/>
        <v>15017.5</v>
      </c>
      <c r="AC33" s="21">
        <f>40</f>
        <v>40</v>
      </c>
      <c r="AD33" s="4"/>
      <c r="AE33" s="5">
        <f>24</f>
        <v>24</v>
      </c>
      <c r="AF33" s="4"/>
      <c r="AG33" s="4"/>
      <c r="AH33" s="4"/>
      <c r="AI33" s="22">
        <f t="shared" si="43"/>
        <v>64</v>
      </c>
      <c r="AJ33" s="4"/>
      <c r="AK33" s="23"/>
      <c r="AL33" s="22">
        <f t="shared" si="44"/>
        <v>0</v>
      </c>
      <c r="AM33" s="49">
        <f t="shared" si="45"/>
        <v>15081.5</v>
      </c>
    </row>
    <row r="34" spans="1:39" x14ac:dyDescent="0.3">
      <c r="A34" s="3" t="s">
        <v>69</v>
      </c>
      <c r="B34" s="23"/>
      <c r="C34" s="24"/>
      <c r="D34" s="4"/>
      <c r="E34" s="21">
        <f>28.79</f>
        <v>28.79</v>
      </c>
      <c r="F34" s="4"/>
      <c r="G34" s="22">
        <f t="shared" si="37"/>
        <v>28.79</v>
      </c>
      <c r="H34" s="4"/>
      <c r="I34" s="23"/>
      <c r="J34" s="4"/>
      <c r="K34" s="4"/>
      <c r="L34" s="4"/>
      <c r="M34" s="22">
        <f t="shared" si="38"/>
        <v>0</v>
      </c>
      <c r="N34" s="4"/>
      <c r="O34" s="23"/>
      <c r="P34" s="22">
        <f t="shared" si="39"/>
        <v>0</v>
      </c>
      <c r="Q34" s="4"/>
      <c r="R34" s="23"/>
      <c r="S34" s="4"/>
      <c r="T34" s="22">
        <f t="shared" si="40"/>
        <v>0</v>
      </c>
      <c r="U34" s="4"/>
      <c r="V34" s="23"/>
      <c r="W34" s="5">
        <f>240.96</f>
        <v>240.96</v>
      </c>
      <c r="X34" s="4"/>
      <c r="Y34" s="22">
        <f t="shared" si="41"/>
        <v>240.96</v>
      </c>
      <c r="Z34" s="23"/>
      <c r="AA34" s="4"/>
      <c r="AB34" s="22">
        <f t="shared" si="42"/>
        <v>269.75</v>
      </c>
      <c r="AC34" s="21">
        <f>572.54</f>
        <v>572.54</v>
      </c>
      <c r="AD34" s="4"/>
      <c r="AE34" s="4"/>
      <c r="AF34" s="4"/>
      <c r="AG34" s="4"/>
      <c r="AH34" s="4"/>
      <c r="AI34" s="22">
        <f t="shared" si="43"/>
        <v>572.54</v>
      </c>
      <c r="AJ34" s="4"/>
      <c r="AK34" s="23"/>
      <c r="AL34" s="22">
        <f t="shared" si="44"/>
        <v>0</v>
      </c>
      <c r="AM34" s="49">
        <f t="shared" si="45"/>
        <v>842.29</v>
      </c>
    </row>
    <row r="35" spans="1:39" x14ac:dyDescent="0.3">
      <c r="A35" s="3" t="s">
        <v>70</v>
      </c>
      <c r="B35" s="23"/>
      <c r="C35" s="22">
        <f>4379.67</f>
        <v>4379.67</v>
      </c>
      <c r="D35" s="4"/>
      <c r="E35" s="21">
        <f>3775.26+101.39+168.87</f>
        <v>4045.52</v>
      </c>
      <c r="F35" s="4"/>
      <c r="G35" s="22">
        <f t="shared" si="37"/>
        <v>4045.52</v>
      </c>
      <c r="H35" s="4"/>
      <c r="I35" s="21">
        <f>5358.57-101.39</f>
        <v>5257.1799999999994</v>
      </c>
      <c r="J35" s="5">
        <f>550.31-11-321.48</f>
        <v>217.82999999999993</v>
      </c>
      <c r="K35" s="5">
        <f>3601.65</f>
        <v>3601.65</v>
      </c>
      <c r="L35" s="4"/>
      <c r="M35" s="22">
        <f t="shared" si="38"/>
        <v>9076.66</v>
      </c>
      <c r="N35" s="4"/>
      <c r="O35" s="23"/>
      <c r="P35" s="22">
        <f t="shared" si="39"/>
        <v>0</v>
      </c>
      <c r="Q35" s="4"/>
      <c r="R35" s="21">
        <f>617.2</f>
        <v>617.20000000000005</v>
      </c>
      <c r="S35" s="4"/>
      <c r="T35" s="22">
        <f t="shared" si="40"/>
        <v>617.20000000000005</v>
      </c>
      <c r="U35" s="4"/>
      <c r="V35" s="23">
        <f>2687.5+1160.73</f>
        <v>3848.23</v>
      </c>
      <c r="W35" s="4"/>
      <c r="X35" s="5">
        <f>1150+11</f>
        <v>1161</v>
      </c>
      <c r="Y35" s="22">
        <f t="shared" si="41"/>
        <v>5009.2299999999996</v>
      </c>
      <c r="Z35" s="21">
        <f>6362.19-1475.2</f>
        <v>4886.99</v>
      </c>
      <c r="AA35" s="4"/>
      <c r="AB35" s="22">
        <f t="shared" si="42"/>
        <v>28015.269999999997</v>
      </c>
      <c r="AC35" s="23"/>
      <c r="AD35" s="5">
        <f>5375+1475.2-3848.23</f>
        <v>3001.97</v>
      </c>
      <c r="AE35" s="4"/>
      <c r="AF35" s="4"/>
      <c r="AG35" s="4"/>
      <c r="AH35" s="4"/>
      <c r="AI35" s="22">
        <f t="shared" si="43"/>
        <v>3001.97</v>
      </c>
      <c r="AJ35" s="4"/>
      <c r="AK35" s="23"/>
      <c r="AL35" s="22">
        <f t="shared" si="44"/>
        <v>0</v>
      </c>
      <c r="AM35" s="49">
        <f t="shared" si="45"/>
        <v>31017.239999999998</v>
      </c>
    </row>
    <row r="36" spans="1:39" x14ac:dyDescent="0.3">
      <c r="A36" s="3" t="s">
        <v>71</v>
      </c>
      <c r="B36" s="23"/>
      <c r="C36" s="24"/>
      <c r="D36" s="4"/>
      <c r="E36" s="23">
        <f>131.13*4+175.41</f>
        <v>699.93</v>
      </c>
      <c r="F36" s="5">
        <f>1803.94+131.13+1144+1144+538.46+1173.54-178.42+26.65</f>
        <v>5783.2999999999993</v>
      </c>
      <c r="G36" s="22">
        <f t="shared" si="37"/>
        <v>6483.23</v>
      </c>
      <c r="H36" s="4"/>
      <c r="I36" s="23"/>
      <c r="J36" s="4"/>
      <c r="K36" s="4"/>
      <c r="L36" s="4"/>
      <c r="M36" s="22">
        <f t="shared" si="38"/>
        <v>0</v>
      </c>
      <c r="N36" s="4"/>
      <c r="O36" s="23"/>
      <c r="P36" s="22">
        <f t="shared" si="39"/>
        <v>0</v>
      </c>
      <c r="Q36" s="4"/>
      <c r="R36" s="23"/>
      <c r="S36" s="4"/>
      <c r="T36" s="22">
        <f t="shared" si="40"/>
        <v>0</v>
      </c>
      <c r="U36" s="4"/>
      <c r="V36" s="21">
        <f>4000-1144-1144-538.46-178.42-995.12+151.77</f>
        <v>151.77000000000001</v>
      </c>
      <c r="W36" s="4">
        <f>131.13+152.61</f>
        <v>283.74</v>
      </c>
      <c r="X36" s="4"/>
      <c r="Y36" s="22">
        <f t="shared" si="41"/>
        <v>435.51</v>
      </c>
      <c r="Z36" s="21">
        <f>9713.18</f>
        <v>9713.18</v>
      </c>
      <c r="AA36" s="5">
        <f>632.94</f>
        <v>632.94000000000005</v>
      </c>
      <c r="AB36" s="22">
        <f t="shared" si="42"/>
        <v>17264.859999999997</v>
      </c>
      <c r="AC36" s="21">
        <f>1551.8-131.13-131.13-131.13-131.13-131.13-175.41-262.26</f>
        <v>458.47999999999979</v>
      </c>
      <c r="AD36" s="4"/>
      <c r="AE36" s="4"/>
      <c r="AF36" s="4">
        <v>102.62</v>
      </c>
      <c r="AG36" s="4"/>
      <c r="AH36" s="4">
        <v>28.51</v>
      </c>
      <c r="AI36" s="22">
        <f t="shared" si="43"/>
        <v>589.60999999999979</v>
      </c>
      <c r="AJ36" s="4"/>
      <c r="AK36" s="23"/>
      <c r="AL36" s="22">
        <f t="shared" si="44"/>
        <v>0</v>
      </c>
      <c r="AM36" s="49">
        <f t="shared" si="45"/>
        <v>17854.469999999998</v>
      </c>
    </row>
    <row r="37" spans="1:39" x14ac:dyDescent="0.3">
      <c r="A37" s="3" t="s">
        <v>72</v>
      </c>
      <c r="B37" s="23"/>
      <c r="C37" s="24"/>
      <c r="D37" s="4"/>
      <c r="E37" s="23"/>
      <c r="F37" s="4"/>
      <c r="G37" s="22">
        <f t="shared" si="37"/>
        <v>0</v>
      </c>
      <c r="H37" s="4"/>
      <c r="I37" s="23"/>
      <c r="J37" s="4"/>
      <c r="K37" s="4"/>
      <c r="L37" s="4"/>
      <c r="M37" s="22">
        <f t="shared" si="38"/>
        <v>0</v>
      </c>
      <c r="N37" s="4"/>
      <c r="O37" s="23"/>
      <c r="P37" s="22">
        <f t="shared" si="39"/>
        <v>0</v>
      </c>
      <c r="Q37" s="4"/>
      <c r="R37" s="23"/>
      <c r="S37" s="4"/>
      <c r="T37" s="22">
        <f t="shared" si="40"/>
        <v>0</v>
      </c>
      <c r="U37" s="4"/>
      <c r="V37" s="23"/>
      <c r="W37" s="4"/>
      <c r="X37" s="4"/>
      <c r="Y37" s="22">
        <f t="shared" si="41"/>
        <v>0</v>
      </c>
      <c r="Z37" s="21">
        <f>803.94</f>
        <v>803.94</v>
      </c>
      <c r="AA37" s="4"/>
      <c r="AB37" s="22">
        <f t="shared" si="42"/>
        <v>803.94</v>
      </c>
      <c r="AC37" s="23"/>
      <c r="AD37" s="4"/>
      <c r="AE37" s="4"/>
      <c r="AF37" s="4"/>
      <c r="AG37" s="4"/>
      <c r="AH37" s="4"/>
      <c r="AI37" s="22">
        <f t="shared" si="43"/>
        <v>0</v>
      </c>
      <c r="AJ37" s="4"/>
      <c r="AK37" s="23"/>
      <c r="AL37" s="22">
        <f t="shared" si="44"/>
        <v>0</v>
      </c>
      <c r="AM37" s="49">
        <f t="shared" si="45"/>
        <v>803.94</v>
      </c>
    </row>
    <row r="38" spans="1:39" x14ac:dyDescent="0.3">
      <c r="A38" s="3" t="s">
        <v>73</v>
      </c>
      <c r="B38" s="23"/>
      <c r="C38" s="24"/>
      <c r="D38" s="4"/>
      <c r="E38" s="23"/>
      <c r="F38" s="4"/>
      <c r="G38" s="22">
        <f t="shared" si="37"/>
        <v>0</v>
      </c>
      <c r="H38" s="4"/>
      <c r="I38" s="21">
        <f>48.5</f>
        <v>48.5</v>
      </c>
      <c r="J38" s="4"/>
      <c r="K38" s="4"/>
      <c r="L38" s="4"/>
      <c r="M38" s="22">
        <f t="shared" si="38"/>
        <v>48.5</v>
      </c>
      <c r="N38" s="4"/>
      <c r="O38" s="23"/>
      <c r="P38" s="22">
        <f t="shared" si="39"/>
        <v>0</v>
      </c>
      <c r="Q38" s="4"/>
      <c r="R38" s="23"/>
      <c r="S38" s="4"/>
      <c r="T38" s="22">
        <f t="shared" si="40"/>
        <v>0</v>
      </c>
      <c r="U38" s="4"/>
      <c r="V38" s="23"/>
      <c r="W38" s="4"/>
      <c r="X38" s="4"/>
      <c r="Y38" s="22">
        <f t="shared" si="41"/>
        <v>0</v>
      </c>
      <c r="Z38" s="23"/>
      <c r="AA38" s="5">
        <f>25.33</f>
        <v>25.33</v>
      </c>
      <c r="AB38" s="22">
        <f t="shared" si="42"/>
        <v>73.83</v>
      </c>
      <c r="AC38" s="21">
        <f>11</f>
        <v>11</v>
      </c>
      <c r="AD38" s="4"/>
      <c r="AE38" s="4"/>
      <c r="AF38" s="4"/>
      <c r="AG38" s="4"/>
      <c r="AH38" s="4"/>
      <c r="AI38" s="22">
        <f t="shared" si="43"/>
        <v>11</v>
      </c>
      <c r="AJ38" s="4"/>
      <c r="AK38" s="23"/>
      <c r="AL38" s="22">
        <f t="shared" si="44"/>
        <v>0</v>
      </c>
      <c r="AM38" s="49">
        <f t="shared" si="45"/>
        <v>84.83</v>
      </c>
    </row>
    <row r="39" spans="1:39" x14ac:dyDescent="0.3">
      <c r="A39" s="3" t="s">
        <v>74</v>
      </c>
      <c r="B39" s="23"/>
      <c r="C39" s="24"/>
      <c r="D39" s="4"/>
      <c r="E39" s="23"/>
      <c r="F39" s="4"/>
      <c r="G39" s="22">
        <f t="shared" si="37"/>
        <v>0</v>
      </c>
      <c r="H39" s="4"/>
      <c r="I39" s="23"/>
      <c r="J39" s="4"/>
      <c r="K39" s="4"/>
      <c r="L39" s="4"/>
      <c r="M39" s="22">
        <f t="shared" si="38"/>
        <v>0</v>
      </c>
      <c r="N39" s="4"/>
      <c r="O39" s="23"/>
      <c r="P39" s="22">
        <f t="shared" si="39"/>
        <v>0</v>
      </c>
      <c r="Q39" s="4"/>
      <c r="R39" s="23"/>
      <c r="S39" s="4"/>
      <c r="T39" s="22">
        <f t="shared" si="40"/>
        <v>0</v>
      </c>
      <c r="U39" s="4"/>
      <c r="V39" s="23"/>
      <c r="W39" s="4"/>
      <c r="X39" s="4"/>
      <c r="Y39" s="22">
        <f t="shared" si="41"/>
        <v>0</v>
      </c>
      <c r="Z39" s="23">
        <v>1163.92</v>
      </c>
      <c r="AA39" s="4"/>
      <c r="AB39" s="22">
        <f t="shared" si="42"/>
        <v>1163.92</v>
      </c>
      <c r="AC39" s="21">
        <f>1163.92-1163.92</f>
        <v>0</v>
      </c>
      <c r="AD39" s="4"/>
      <c r="AE39" s="4"/>
      <c r="AF39" s="4"/>
      <c r="AG39" s="4"/>
      <c r="AH39" s="4"/>
      <c r="AI39" s="22">
        <f t="shared" si="43"/>
        <v>0</v>
      </c>
      <c r="AJ39" s="4"/>
      <c r="AK39" s="23"/>
      <c r="AL39" s="22">
        <f t="shared" si="44"/>
        <v>0</v>
      </c>
      <c r="AM39" s="49">
        <f t="shared" si="45"/>
        <v>1163.92</v>
      </c>
    </row>
    <row r="40" spans="1:39" x14ac:dyDescent="0.3">
      <c r="A40" s="3" t="s">
        <v>75</v>
      </c>
      <c r="B40" s="23"/>
      <c r="C40" s="24"/>
      <c r="D40" s="4"/>
      <c r="E40" s="23"/>
      <c r="F40" s="4"/>
      <c r="G40" s="22">
        <f t="shared" si="37"/>
        <v>0</v>
      </c>
      <c r="H40" s="4"/>
      <c r="I40" s="23"/>
      <c r="J40" s="4"/>
      <c r="K40" s="4"/>
      <c r="L40" s="4"/>
      <c r="M40" s="22">
        <f t="shared" si="38"/>
        <v>0</v>
      </c>
      <c r="N40" s="4"/>
      <c r="O40" s="23"/>
      <c r="P40" s="22">
        <f t="shared" si="39"/>
        <v>0</v>
      </c>
      <c r="Q40" s="4"/>
      <c r="R40" s="23"/>
      <c r="S40" s="4"/>
      <c r="T40" s="22">
        <f t="shared" si="40"/>
        <v>0</v>
      </c>
      <c r="U40" s="4"/>
      <c r="V40" s="23"/>
      <c r="W40" s="4"/>
      <c r="X40" s="4"/>
      <c r="Y40" s="22">
        <f t="shared" si="41"/>
        <v>0</v>
      </c>
      <c r="Z40" s="21">
        <f>594.28</f>
        <v>594.28</v>
      </c>
      <c r="AA40" s="4"/>
      <c r="AB40" s="22">
        <f t="shared" si="42"/>
        <v>594.28</v>
      </c>
      <c r="AC40" s="21">
        <f>148.8</f>
        <v>148.80000000000001</v>
      </c>
      <c r="AD40" s="4"/>
      <c r="AE40" s="4"/>
      <c r="AF40" s="4"/>
      <c r="AG40" s="4"/>
      <c r="AH40" s="4"/>
      <c r="AI40" s="22">
        <f t="shared" si="43"/>
        <v>148.80000000000001</v>
      </c>
      <c r="AJ40" s="4"/>
      <c r="AK40" s="23"/>
      <c r="AL40" s="22">
        <f t="shared" si="44"/>
        <v>0</v>
      </c>
      <c r="AM40" s="49">
        <f t="shared" si="45"/>
        <v>743.07999999999993</v>
      </c>
    </row>
    <row r="41" spans="1:39" x14ac:dyDescent="0.3">
      <c r="A41" s="3" t="s">
        <v>76</v>
      </c>
      <c r="B41" s="23"/>
      <c r="C41" s="24"/>
      <c r="D41" s="4"/>
      <c r="E41" s="23">
        <v>1005.9</v>
      </c>
      <c r="F41" s="4"/>
      <c r="G41" s="22">
        <f t="shared" si="37"/>
        <v>1005.9</v>
      </c>
      <c r="H41" s="4"/>
      <c r="I41" s="23"/>
      <c r="J41" s="4"/>
      <c r="K41" s="4"/>
      <c r="L41" s="4"/>
      <c r="M41" s="22">
        <f t="shared" si="38"/>
        <v>0</v>
      </c>
      <c r="N41" s="4"/>
      <c r="O41" s="23"/>
      <c r="P41" s="22">
        <f t="shared" si="39"/>
        <v>0</v>
      </c>
      <c r="Q41" s="4"/>
      <c r="R41" s="23"/>
      <c r="S41" s="4"/>
      <c r="T41" s="22">
        <f t="shared" si="40"/>
        <v>0</v>
      </c>
      <c r="U41" s="4"/>
      <c r="V41" s="23"/>
      <c r="W41" s="4"/>
      <c r="X41" s="4"/>
      <c r="Y41" s="22">
        <f t="shared" si="41"/>
        <v>0</v>
      </c>
      <c r="Z41" s="21">
        <f>1531.01</f>
        <v>1531.01</v>
      </c>
      <c r="AA41" s="4"/>
      <c r="AB41" s="22">
        <f t="shared" si="42"/>
        <v>2536.91</v>
      </c>
      <c r="AC41" s="21"/>
      <c r="AD41" s="4"/>
      <c r="AE41" s="4"/>
      <c r="AF41" s="4"/>
      <c r="AG41" s="4"/>
      <c r="AH41" s="4"/>
      <c r="AI41" s="22">
        <f t="shared" si="43"/>
        <v>0</v>
      </c>
      <c r="AJ41" s="4"/>
      <c r="AK41" s="23"/>
      <c r="AL41" s="22">
        <f t="shared" si="44"/>
        <v>0</v>
      </c>
      <c r="AM41" s="49">
        <f t="shared" si="45"/>
        <v>2536.91</v>
      </c>
    </row>
    <row r="42" spans="1:39" x14ac:dyDescent="0.3">
      <c r="A42" s="3" t="s">
        <v>77</v>
      </c>
      <c r="B42" s="23"/>
      <c r="C42" s="24"/>
      <c r="D42" s="4"/>
      <c r="E42" s="23"/>
      <c r="F42" s="5">
        <f>1839.94</f>
        <v>1839.94</v>
      </c>
      <c r="G42" s="22">
        <f t="shared" si="37"/>
        <v>1839.94</v>
      </c>
      <c r="H42" s="4"/>
      <c r="I42" s="23"/>
      <c r="J42" s="4"/>
      <c r="K42" s="4"/>
      <c r="L42" s="4"/>
      <c r="M42" s="22">
        <f t="shared" si="38"/>
        <v>0</v>
      </c>
      <c r="N42" s="4"/>
      <c r="O42" s="23"/>
      <c r="P42" s="22">
        <f t="shared" si="39"/>
        <v>0</v>
      </c>
      <c r="Q42" s="4"/>
      <c r="R42" s="23"/>
      <c r="S42" s="5"/>
      <c r="T42" s="22">
        <f t="shared" si="40"/>
        <v>0</v>
      </c>
      <c r="U42" s="4"/>
      <c r="V42" s="21">
        <f>464.47</f>
        <v>464.47</v>
      </c>
      <c r="W42" s="4">
        <v>5</v>
      </c>
      <c r="X42" s="5">
        <f>150</f>
        <v>150</v>
      </c>
      <c r="Y42" s="22">
        <f t="shared" si="41"/>
        <v>619.47</v>
      </c>
      <c r="Z42" s="23"/>
      <c r="AA42" s="4"/>
      <c r="AB42" s="22">
        <f t="shared" si="42"/>
        <v>2459.41</v>
      </c>
      <c r="AC42" s="21"/>
      <c r="AD42" s="4"/>
      <c r="AE42" s="4">
        <v>155.28</v>
      </c>
      <c r="AF42" s="4"/>
      <c r="AG42" s="4"/>
      <c r="AH42" s="4"/>
      <c r="AI42" s="22">
        <f t="shared" si="43"/>
        <v>155.28</v>
      </c>
      <c r="AJ42" s="4"/>
      <c r="AK42" s="23"/>
      <c r="AL42" s="22">
        <f t="shared" si="44"/>
        <v>0</v>
      </c>
      <c r="AM42" s="49">
        <f t="shared" si="45"/>
        <v>2614.69</v>
      </c>
    </row>
    <row r="43" spans="1:39" x14ac:dyDescent="0.3">
      <c r="A43" s="3" t="s">
        <v>78</v>
      </c>
      <c r="B43" s="23"/>
      <c r="C43" s="24"/>
      <c r="D43" s="4"/>
      <c r="E43" s="23"/>
      <c r="F43" s="4"/>
      <c r="G43" s="22">
        <f t="shared" si="37"/>
        <v>0</v>
      </c>
      <c r="H43" s="4"/>
      <c r="I43" s="23"/>
      <c r="J43" s="4"/>
      <c r="K43" s="4"/>
      <c r="L43" s="4"/>
      <c r="M43" s="22">
        <f t="shared" si="38"/>
        <v>0</v>
      </c>
      <c r="N43" s="4"/>
      <c r="O43" s="23"/>
      <c r="P43" s="22">
        <f t="shared" si="39"/>
        <v>0</v>
      </c>
      <c r="Q43" s="4"/>
      <c r="R43" s="23"/>
      <c r="S43" s="4"/>
      <c r="T43" s="22">
        <f t="shared" si="40"/>
        <v>0</v>
      </c>
      <c r="U43" s="4"/>
      <c r="V43" s="21">
        <f>52.83</f>
        <v>52.83</v>
      </c>
      <c r="W43" s="4"/>
      <c r="X43" s="4"/>
      <c r="Y43" s="22">
        <f t="shared" si="41"/>
        <v>52.83</v>
      </c>
      <c r="Z43" s="23"/>
      <c r="AA43" s="4"/>
      <c r="AB43" s="22">
        <f t="shared" si="42"/>
        <v>52.83</v>
      </c>
      <c r="AC43" s="21">
        <f>251.94</f>
        <v>251.94</v>
      </c>
      <c r="AD43" s="4"/>
      <c r="AE43" s="4"/>
      <c r="AF43" s="4"/>
      <c r="AG43" s="4"/>
      <c r="AH43" s="4"/>
      <c r="AI43" s="22">
        <f t="shared" si="43"/>
        <v>251.94</v>
      </c>
      <c r="AJ43" s="4"/>
      <c r="AK43" s="23"/>
      <c r="AL43" s="22">
        <f t="shared" si="44"/>
        <v>0</v>
      </c>
      <c r="AM43" s="49">
        <f t="shared" si="45"/>
        <v>304.77</v>
      </c>
    </row>
    <row r="44" spans="1:39" x14ac:dyDescent="0.3">
      <c r="A44" s="3" t="s">
        <v>79</v>
      </c>
      <c r="B44" s="23"/>
      <c r="C44" s="24"/>
      <c r="D44" s="4"/>
      <c r="E44" s="23"/>
      <c r="F44" s="4"/>
      <c r="G44" s="22">
        <f t="shared" si="37"/>
        <v>0</v>
      </c>
      <c r="H44" s="4"/>
      <c r="I44" s="23"/>
      <c r="J44" s="4"/>
      <c r="K44" s="4"/>
      <c r="L44" s="4"/>
      <c r="M44" s="22">
        <f t="shared" si="38"/>
        <v>0</v>
      </c>
      <c r="N44" s="4"/>
      <c r="O44" s="23"/>
      <c r="P44" s="22">
        <f t="shared" si="39"/>
        <v>0</v>
      </c>
      <c r="Q44" s="4"/>
      <c r="R44" s="23"/>
      <c r="S44" s="4"/>
      <c r="T44" s="22">
        <f t="shared" si="40"/>
        <v>0</v>
      </c>
      <c r="U44" s="4"/>
      <c r="V44" s="23"/>
      <c r="W44" s="4"/>
      <c r="X44" s="4"/>
      <c r="Y44" s="22">
        <f t="shared" si="41"/>
        <v>0</v>
      </c>
      <c r="Z44" s="23"/>
      <c r="AA44" s="4"/>
      <c r="AB44" s="22">
        <f t="shared" si="42"/>
        <v>0</v>
      </c>
      <c r="AC44" s="21">
        <f>13</f>
        <v>13</v>
      </c>
      <c r="AD44" s="4"/>
      <c r="AE44" s="4"/>
      <c r="AF44" s="4"/>
      <c r="AG44" s="4"/>
      <c r="AH44" s="4"/>
      <c r="AI44" s="22">
        <f t="shared" si="43"/>
        <v>13</v>
      </c>
      <c r="AJ44" s="4"/>
      <c r="AK44" s="23"/>
      <c r="AL44" s="22">
        <f t="shared" si="44"/>
        <v>0</v>
      </c>
      <c r="AM44" s="49">
        <f t="shared" si="45"/>
        <v>13</v>
      </c>
    </row>
    <row r="45" spans="1:39" x14ac:dyDescent="0.3">
      <c r="A45" s="3" t="s">
        <v>80</v>
      </c>
      <c r="B45" s="23"/>
      <c r="C45" s="24"/>
      <c r="D45" s="4"/>
      <c r="E45" s="23"/>
      <c r="F45" s="5">
        <f>29.7+15.2</f>
        <v>44.9</v>
      </c>
      <c r="G45" s="22">
        <f t="shared" si="37"/>
        <v>44.9</v>
      </c>
      <c r="H45" s="4"/>
      <c r="I45" s="23"/>
      <c r="J45" s="5">
        <f>5.44</f>
        <v>5.44</v>
      </c>
      <c r="K45" s="4"/>
      <c r="L45" s="4"/>
      <c r="M45" s="22">
        <f t="shared" si="38"/>
        <v>5.44</v>
      </c>
      <c r="N45" s="4"/>
      <c r="O45" s="21">
        <v>0</v>
      </c>
      <c r="P45" s="22">
        <f t="shared" si="39"/>
        <v>0</v>
      </c>
      <c r="Q45" s="4"/>
      <c r="R45" s="21">
        <f>22.8</f>
        <v>22.8</v>
      </c>
      <c r="S45" s="5"/>
      <c r="T45" s="22">
        <f t="shared" si="40"/>
        <v>22.8</v>
      </c>
      <c r="U45" s="4"/>
      <c r="V45" s="23"/>
      <c r="W45" s="4">
        <v>5.44</v>
      </c>
      <c r="X45" s="4"/>
      <c r="Y45" s="22">
        <f t="shared" si="41"/>
        <v>5.44</v>
      </c>
      <c r="Z45" s="23"/>
      <c r="AA45" s="4"/>
      <c r="AB45" s="22">
        <f t="shared" si="42"/>
        <v>78.58</v>
      </c>
      <c r="AC45" s="21">
        <f>38.58</f>
        <v>38.58</v>
      </c>
      <c r="AD45" s="4"/>
      <c r="AE45" s="4"/>
      <c r="AF45" s="4"/>
      <c r="AG45" s="4"/>
      <c r="AH45" s="4"/>
      <c r="AI45" s="22">
        <f t="shared" si="43"/>
        <v>38.58</v>
      </c>
      <c r="AJ45" s="4"/>
      <c r="AK45" s="23"/>
      <c r="AL45" s="22">
        <f t="shared" si="44"/>
        <v>0</v>
      </c>
      <c r="AM45" s="49">
        <f t="shared" si="45"/>
        <v>117.16</v>
      </c>
    </row>
    <row r="46" spans="1:39" x14ac:dyDescent="0.3">
      <c r="A46" s="3" t="s">
        <v>81</v>
      </c>
      <c r="B46" s="23"/>
      <c r="C46" s="24"/>
      <c r="D46" s="4"/>
      <c r="E46" s="23"/>
      <c r="F46" s="5">
        <f>26.45</f>
        <v>26.45</v>
      </c>
      <c r="G46" s="22">
        <f t="shared" si="37"/>
        <v>26.45</v>
      </c>
      <c r="H46" s="4"/>
      <c r="I46" s="23"/>
      <c r="J46" s="4"/>
      <c r="K46" s="5">
        <f>9.5</f>
        <v>9.5</v>
      </c>
      <c r="L46" s="4"/>
      <c r="M46" s="22">
        <f t="shared" si="38"/>
        <v>9.5</v>
      </c>
      <c r="N46" s="4"/>
      <c r="O46" s="23"/>
      <c r="P46" s="22">
        <f t="shared" si="39"/>
        <v>0</v>
      </c>
      <c r="Q46" s="4"/>
      <c r="R46" s="23"/>
      <c r="S46" s="4"/>
      <c r="T46" s="22">
        <f t="shared" si="40"/>
        <v>0</v>
      </c>
      <c r="U46" s="4"/>
      <c r="V46" s="21">
        <f>11.97</f>
        <v>11.97</v>
      </c>
      <c r="W46" s="4"/>
      <c r="X46" s="4"/>
      <c r="Y46" s="22">
        <f t="shared" si="41"/>
        <v>11.97</v>
      </c>
      <c r="Z46" s="23"/>
      <c r="AA46" s="4"/>
      <c r="AB46" s="22">
        <f t="shared" si="42"/>
        <v>47.92</v>
      </c>
      <c r="AC46" s="21">
        <f>3.35</f>
        <v>3.35</v>
      </c>
      <c r="AD46" s="4"/>
      <c r="AE46" s="4"/>
      <c r="AF46" s="4"/>
      <c r="AG46" s="4"/>
      <c r="AH46" s="4"/>
      <c r="AI46" s="22">
        <f t="shared" si="43"/>
        <v>3.35</v>
      </c>
      <c r="AJ46" s="4"/>
      <c r="AK46" s="23"/>
      <c r="AL46" s="22">
        <f t="shared" si="44"/>
        <v>0</v>
      </c>
      <c r="AM46" s="49">
        <f t="shared" si="45"/>
        <v>51.27</v>
      </c>
    </row>
    <row r="47" spans="1:39" x14ac:dyDescent="0.3">
      <c r="A47" s="3" t="s">
        <v>82</v>
      </c>
      <c r="B47" s="23"/>
      <c r="C47" s="24"/>
      <c r="D47" s="4"/>
      <c r="E47" s="23"/>
      <c r="F47" s="4"/>
      <c r="G47" s="22">
        <f t="shared" si="37"/>
        <v>0</v>
      </c>
      <c r="H47" s="4"/>
      <c r="I47" s="23"/>
      <c r="J47" s="4"/>
      <c r="K47" s="4"/>
      <c r="L47" s="4"/>
      <c r="M47" s="22">
        <f t="shared" si="38"/>
        <v>0</v>
      </c>
      <c r="N47" s="4"/>
      <c r="O47" s="23"/>
      <c r="P47" s="22">
        <f t="shared" si="39"/>
        <v>0</v>
      </c>
      <c r="Q47" s="4"/>
      <c r="R47" s="23"/>
      <c r="S47" s="4"/>
      <c r="T47" s="22">
        <f t="shared" si="40"/>
        <v>0</v>
      </c>
      <c r="U47" s="4"/>
      <c r="V47" s="23"/>
      <c r="W47" s="4"/>
      <c r="X47" s="4"/>
      <c r="Y47" s="22">
        <f t="shared" si="41"/>
        <v>0</v>
      </c>
      <c r="Z47" s="23"/>
      <c r="AA47" s="5">
        <f>25</f>
        <v>25</v>
      </c>
      <c r="AB47" s="22">
        <f t="shared" si="42"/>
        <v>25</v>
      </c>
      <c r="AC47" s="23"/>
      <c r="AD47" s="4"/>
      <c r="AE47" s="4"/>
      <c r="AF47" s="4"/>
      <c r="AG47" s="4"/>
      <c r="AH47" s="4"/>
      <c r="AI47" s="22">
        <f t="shared" si="43"/>
        <v>0</v>
      </c>
      <c r="AJ47" s="4"/>
      <c r="AK47" s="23"/>
      <c r="AL47" s="22">
        <f t="shared" si="44"/>
        <v>0</v>
      </c>
      <c r="AM47" s="49">
        <f t="shared" si="45"/>
        <v>25</v>
      </c>
    </row>
    <row r="48" spans="1:39" x14ac:dyDescent="0.3">
      <c r="A48" s="3" t="s">
        <v>83</v>
      </c>
      <c r="B48" s="23"/>
      <c r="C48" s="24"/>
      <c r="D48" s="4"/>
      <c r="E48" s="21">
        <f>451.5</f>
        <v>451.5</v>
      </c>
      <c r="F48" s="5">
        <f>1500</f>
        <v>1500</v>
      </c>
      <c r="G48" s="22">
        <f t="shared" si="37"/>
        <v>1951.5</v>
      </c>
      <c r="H48" s="4"/>
      <c r="I48" s="23"/>
      <c r="J48" s="4"/>
      <c r="K48" s="4"/>
      <c r="L48" s="4"/>
      <c r="M48" s="22">
        <f t="shared" si="38"/>
        <v>0</v>
      </c>
      <c r="N48" s="4"/>
      <c r="O48" s="23"/>
      <c r="P48" s="22">
        <f t="shared" si="39"/>
        <v>0</v>
      </c>
      <c r="Q48" s="4"/>
      <c r="R48" s="23"/>
      <c r="S48" s="4"/>
      <c r="T48" s="22">
        <f t="shared" si="40"/>
        <v>0</v>
      </c>
      <c r="U48" s="4"/>
      <c r="V48" s="21">
        <f>957.38</f>
        <v>957.38</v>
      </c>
      <c r="W48" s="5">
        <f>168</f>
        <v>168</v>
      </c>
      <c r="X48" s="4"/>
      <c r="Y48" s="22">
        <f t="shared" si="41"/>
        <v>1125.3800000000001</v>
      </c>
      <c r="Z48" s="21">
        <f>1096.8</f>
        <v>1096.8</v>
      </c>
      <c r="AA48" s="5">
        <f>80</f>
        <v>80</v>
      </c>
      <c r="AB48" s="22">
        <f t="shared" si="42"/>
        <v>4253.68</v>
      </c>
      <c r="AC48" s="21">
        <f>131.01</f>
        <v>131.01</v>
      </c>
      <c r="AD48" s="4"/>
      <c r="AE48" s="4"/>
      <c r="AF48" s="4"/>
      <c r="AG48" s="4"/>
      <c r="AH48" s="4"/>
      <c r="AI48" s="22">
        <f t="shared" si="43"/>
        <v>131.01</v>
      </c>
      <c r="AJ48" s="4"/>
      <c r="AK48" s="23"/>
      <c r="AL48" s="22">
        <f t="shared" si="44"/>
        <v>0</v>
      </c>
      <c r="AM48" s="49">
        <f t="shared" si="45"/>
        <v>4384.6900000000005</v>
      </c>
    </row>
    <row r="49" spans="1:39" x14ac:dyDescent="0.3">
      <c r="A49" s="3" t="s">
        <v>84</v>
      </c>
      <c r="B49" s="23"/>
      <c r="C49" s="24"/>
      <c r="D49" s="4"/>
      <c r="E49" s="23"/>
      <c r="F49" s="4"/>
      <c r="G49" s="22">
        <f t="shared" si="37"/>
        <v>0</v>
      </c>
      <c r="H49" s="4"/>
      <c r="I49" s="23"/>
      <c r="J49" s="4"/>
      <c r="K49" s="4"/>
      <c r="L49" s="4"/>
      <c r="M49" s="22">
        <f t="shared" si="38"/>
        <v>0</v>
      </c>
      <c r="N49" s="4"/>
      <c r="O49" s="23"/>
      <c r="P49" s="22">
        <f t="shared" si="39"/>
        <v>0</v>
      </c>
      <c r="Q49" s="4"/>
      <c r="R49" s="23"/>
      <c r="S49" s="4"/>
      <c r="T49" s="22">
        <f t="shared" si="40"/>
        <v>0</v>
      </c>
      <c r="U49" s="4"/>
      <c r="V49" s="23"/>
      <c r="W49" s="4"/>
      <c r="X49" s="4"/>
      <c r="Y49" s="22">
        <f t="shared" si="41"/>
        <v>0</v>
      </c>
      <c r="Z49" s="23"/>
      <c r="AA49" s="4"/>
      <c r="AB49" s="22">
        <f t="shared" si="42"/>
        <v>0</v>
      </c>
      <c r="AC49" s="23"/>
      <c r="AD49" s="4"/>
      <c r="AE49" s="4"/>
      <c r="AF49" s="4"/>
      <c r="AG49" s="4"/>
      <c r="AH49" s="4"/>
      <c r="AI49" s="22">
        <f t="shared" si="43"/>
        <v>0</v>
      </c>
      <c r="AJ49" s="4"/>
      <c r="AK49" s="21">
        <f>24</f>
        <v>24</v>
      </c>
      <c r="AL49" s="22">
        <f t="shared" si="44"/>
        <v>24</v>
      </c>
      <c r="AM49" s="49">
        <f t="shared" si="45"/>
        <v>24</v>
      </c>
    </row>
    <row r="50" spans="1:39" x14ac:dyDescent="0.3">
      <c r="A50" s="3" t="s">
        <v>85</v>
      </c>
      <c r="B50" s="23"/>
      <c r="C50" s="24"/>
      <c r="D50" s="4"/>
      <c r="E50" s="23"/>
      <c r="F50" s="4"/>
      <c r="G50" s="22">
        <f t="shared" si="37"/>
        <v>0</v>
      </c>
      <c r="H50" s="4"/>
      <c r="I50" s="23"/>
      <c r="J50" s="4"/>
      <c r="K50" s="4"/>
      <c r="L50" s="4"/>
      <c r="M50" s="22">
        <f t="shared" si="38"/>
        <v>0</v>
      </c>
      <c r="N50" s="4"/>
      <c r="O50" s="23"/>
      <c r="P50" s="22">
        <f t="shared" si="39"/>
        <v>0</v>
      </c>
      <c r="Q50" s="4"/>
      <c r="R50" s="23"/>
      <c r="S50" s="4"/>
      <c r="T50" s="22">
        <f t="shared" si="40"/>
        <v>0</v>
      </c>
      <c r="U50" s="4"/>
      <c r="V50" s="23"/>
      <c r="W50" s="4"/>
      <c r="X50" s="4"/>
      <c r="Y50" s="22">
        <f t="shared" si="41"/>
        <v>0</v>
      </c>
      <c r="Z50" s="23"/>
      <c r="AA50" s="4"/>
      <c r="AB50" s="22">
        <f t="shared" si="42"/>
        <v>0</v>
      </c>
      <c r="AC50" s="21">
        <f>66.99</f>
        <v>66.989999999999995</v>
      </c>
      <c r="AD50" s="4"/>
      <c r="AE50" s="4"/>
      <c r="AF50" s="4"/>
      <c r="AG50" s="4"/>
      <c r="AH50" s="4"/>
      <c r="AI50" s="22">
        <f t="shared" si="43"/>
        <v>66.989999999999995</v>
      </c>
      <c r="AJ50" s="4"/>
      <c r="AK50" s="23"/>
      <c r="AL50" s="22">
        <f t="shared" si="44"/>
        <v>0</v>
      </c>
      <c r="AM50" s="49">
        <f t="shared" si="45"/>
        <v>66.989999999999995</v>
      </c>
    </row>
    <row r="51" spans="1:39" x14ac:dyDescent="0.3">
      <c r="A51" s="3" t="s">
        <v>86</v>
      </c>
      <c r="B51" s="23"/>
      <c r="C51" s="24"/>
      <c r="D51" s="4"/>
      <c r="E51" s="23"/>
      <c r="F51" s="5">
        <f>25</f>
        <v>25</v>
      </c>
      <c r="G51" s="22">
        <f t="shared" si="37"/>
        <v>25</v>
      </c>
      <c r="H51" s="4"/>
      <c r="I51" s="23"/>
      <c r="J51" s="4"/>
      <c r="K51" s="4"/>
      <c r="L51" s="4"/>
      <c r="M51" s="22">
        <f t="shared" si="38"/>
        <v>0</v>
      </c>
      <c r="N51" s="4"/>
      <c r="O51" s="23"/>
      <c r="P51" s="22">
        <f t="shared" si="39"/>
        <v>0</v>
      </c>
      <c r="Q51" s="4"/>
      <c r="R51" s="23"/>
      <c r="S51" s="4"/>
      <c r="T51" s="22">
        <f t="shared" si="40"/>
        <v>0</v>
      </c>
      <c r="U51" s="4"/>
      <c r="V51" s="23"/>
      <c r="W51" s="4"/>
      <c r="X51" s="4"/>
      <c r="Y51" s="22">
        <f t="shared" si="41"/>
        <v>0</v>
      </c>
      <c r="Z51" s="23"/>
      <c r="AA51" s="4"/>
      <c r="AB51" s="22">
        <f t="shared" si="42"/>
        <v>25</v>
      </c>
      <c r="AC51" s="23"/>
      <c r="AD51" s="4"/>
      <c r="AE51" s="4"/>
      <c r="AF51" s="4"/>
      <c r="AG51" s="4"/>
      <c r="AH51" s="4"/>
      <c r="AI51" s="22">
        <f t="shared" si="43"/>
        <v>0</v>
      </c>
      <c r="AJ51" s="4"/>
      <c r="AK51" s="23"/>
      <c r="AL51" s="22">
        <f t="shared" si="44"/>
        <v>0</v>
      </c>
      <c r="AM51" s="49">
        <f t="shared" si="45"/>
        <v>25</v>
      </c>
    </row>
    <row r="52" spans="1:39" x14ac:dyDescent="0.3">
      <c r="A52" s="3" t="s">
        <v>87</v>
      </c>
      <c r="B52" s="23"/>
      <c r="C52" s="24"/>
      <c r="D52" s="4"/>
      <c r="E52" s="21">
        <f>143.88</f>
        <v>143.88</v>
      </c>
      <c r="F52" s="4"/>
      <c r="G52" s="22">
        <f t="shared" si="37"/>
        <v>143.88</v>
      </c>
      <c r="H52" s="4"/>
      <c r="I52" s="23"/>
      <c r="J52" s="4"/>
      <c r="K52" s="4"/>
      <c r="L52" s="4"/>
      <c r="M52" s="22">
        <f t="shared" si="38"/>
        <v>0</v>
      </c>
      <c r="N52" s="4"/>
      <c r="O52" s="23"/>
      <c r="P52" s="22">
        <f t="shared" si="39"/>
        <v>0</v>
      </c>
      <c r="Q52" s="4"/>
      <c r="R52" s="23"/>
      <c r="S52" s="4"/>
      <c r="T52" s="22">
        <f t="shared" si="40"/>
        <v>0</v>
      </c>
      <c r="U52" s="4"/>
      <c r="V52" s="23"/>
      <c r="W52" s="4"/>
      <c r="X52" s="4"/>
      <c r="Y52" s="22">
        <f t="shared" si="41"/>
        <v>0</v>
      </c>
      <c r="Z52" s="21">
        <f>216</f>
        <v>216</v>
      </c>
      <c r="AA52" s="4"/>
      <c r="AB52" s="22">
        <f t="shared" si="42"/>
        <v>359.88</v>
      </c>
      <c r="AC52" s="21">
        <f>1002.89</f>
        <v>1002.89</v>
      </c>
      <c r="AD52" s="4"/>
      <c r="AE52" s="4"/>
      <c r="AF52" s="4"/>
      <c r="AG52" s="4"/>
      <c r="AH52" s="4"/>
      <c r="AI52" s="22">
        <f t="shared" si="43"/>
        <v>1002.89</v>
      </c>
      <c r="AJ52" s="4"/>
      <c r="AK52" s="23"/>
      <c r="AL52" s="22">
        <f t="shared" si="44"/>
        <v>0</v>
      </c>
      <c r="AM52" s="49">
        <f t="shared" si="45"/>
        <v>1362.77</v>
      </c>
    </row>
    <row r="53" spans="1:39" x14ac:dyDescent="0.3">
      <c r="A53" s="3" t="s">
        <v>88</v>
      </c>
      <c r="B53" s="23"/>
      <c r="C53" s="24"/>
      <c r="D53" s="4"/>
      <c r="E53" s="23"/>
      <c r="F53" s="4"/>
      <c r="G53" s="22">
        <f t="shared" si="37"/>
        <v>0</v>
      </c>
      <c r="H53" s="4"/>
      <c r="I53" s="23"/>
      <c r="J53" s="4"/>
      <c r="K53" s="4"/>
      <c r="L53" s="4"/>
      <c r="M53" s="22">
        <f t="shared" si="38"/>
        <v>0</v>
      </c>
      <c r="N53" s="4"/>
      <c r="O53" s="23"/>
      <c r="P53" s="22">
        <f t="shared" si="39"/>
        <v>0</v>
      </c>
      <c r="Q53" s="4"/>
      <c r="R53" s="23"/>
      <c r="S53" s="4"/>
      <c r="T53" s="22">
        <f t="shared" si="40"/>
        <v>0</v>
      </c>
      <c r="U53" s="4"/>
      <c r="V53" s="21">
        <f>26.15</f>
        <v>26.15</v>
      </c>
      <c r="W53" s="4"/>
      <c r="X53" s="4"/>
      <c r="Y53" s="22">
        <f t="shared" si="41"/>
        <v>26.15</v>
      </c>
      <c r="Z53" s="23"/>
      <c r="AA53" s="4"/>
      <c r="AB53" s="22">
        <f t="shared" si="42"/>
        <v>26.15</v>
      </c>
      <c r="AC53" s="21">
        <f>87</f>
        <v>87</v>
      </c>
      <c r="AD53" s="4"/>
      <c r="AE53" s="5">
        <f>23.9</f>
        <v>23.9</v>
      </c>
      <c r="AF53" s="4"/>
      <c r="AG53" s="4"/>
      <c r="AH53" s="4"/>
      <c r="AI53" s="22">
        <f t="shared" si="43"/>
        <v>110.9</v>
      </c>
      <c r="AJ53" s="4"/>
      <c r="AK53" s="23"/>
      <c r="AL53" s="22">
        <f t="shared" si="44"/>
        <v>0</v>
      </c>
      <c r="AM53" s="49">
        <f t="shared" si="45"/>
        <v>137.05000000000001</v>
      </c>
    </row>
    <row r="54" spans="1:39" x14ac:dyDescent="0.3">
      <c r="A54" s="3" t="s">
        <v>89</v>
      </c>
      <c r="B54" s="23"/>
      <c r="C54" s="24"/>
      <c r="D54" s="4"/>
      <c r="E54" s="23"/>
      <c r="F54" s="4"/>
      <c r="G54" s="22">
        <f t="shared" si="37"/>
        <v>0</v>
      </c>
      <c r="H54" s="4"/>
      <c r="I54" s="23"/>
      <c r="J54" s="4"/>
      <c r="K54" s="4"/>
      <c r="L54" s="4"/>
      <c r="M54" s="22">
        <f t="shared" si="38"/>
        <v>0</v>
      </c>
      <c r="N54" s="4"/>
      <c r="O54" s="23"/>
      <c r="P54" s="22">
        <f t="shared" si="39"/>
        <v>0</v>
      </c>
      <c r="Q54" s="4"/>
      <c r="R54" s="23"/>
      <c r="S54" s="4"/>
      <c r="T54" s="22">
        <f t="shared" si="40"/>
        <v>0</v>
      </c>
      <c r="U54" s="4"/>
      <c r="V54" s="23"/>
      <c r="W54" s="5">
        <f>6</f>
        <v>6</v>
      </c>
      <c r="X54" s="4"/>
      <c r="Y54" s="22">
        <f t="shared" si="41"/>
        <v>6</v>
      </c>
      <c r="Z54" s="23"/>
      <c r="AA54" s="4"/>
      <c r="AB54" s="22">
        <f t="shared" si="42"/>
        <v>6</v>
      </c>
      <c r="AC54" s="21">
        <f>517.43</f>
        <v>517.42999999999995</v>
      </c>
      <c r="AD54" s="4"/>
      <c r="AE54" s="4"/>
      <c r="AF54" s="4"/>
      <c r="AG54" s="4"/>
      <c r="AH54" s="4"/>
      <c r="AI54" s="22">
        <f t="shared" si="43"/>
        <v>517.42999999999995</v>
      </c>
      <c r="AJ54" s="4"/>
      <c r="AK54" s="23"/>
      <c r="AL54" s="22">
        <f t="shared" si="44"/>
        <v>0</v>
      </c>
      <c r="AM54" s="49">
        <f t="shared" si="45"/>
        <v>523.42999999999995</v>
      </c>
    </row>
    <row r="55" spans="1:39" x14ac:dyDescent="0.3">
      <c r="A55" s="3" t="s">
        <v>90</v>
      </c>
      <c r="B55" s="23"/>
      <c r="C55" s="24"/>
      <c r="D55" s="4"/>
      <c r="E55" s="21">
        <f>916.46</f>
        <v>916.46</v>
      </c>
      <c r="F55" s="5">
        <f>157.79</f>
        <v>157.79</v>
      </c>
      <c r="G55" s="22">
        <f t="shared" si="37"/>
        <v>1074.25</v>
      </c>
      <c r="H55" s="4"/>
      <c r="I55" s="21">
        <f>188.4</f>
        <v>188.4</v>
      </c>
      <c r="J55" s="5">
        <f>73.18</f>
        <v>73.180000000000007</v>
      </c>
      <c r="K55" s="5">
        <f>23.7</f>
        <v>23.7</v>
      </c>
      <c r="L55" s="4"/>
      <c r="M55" s="22">
        <f t="shared" si="38"/>
        <v>285.28000000000003</v>
      </c>
      <c r="N55" s="4"/>
      <c r="O55" s="23"/>
      <c r="P55" s="22">
        <f t="shared" si="39"/>
        <v>0</v>
      </c>
      <c r="Q55" s="4"/>
      <c r="R55" s="23"/>
      <c r="S55" s="4"/>
      <c r="T55" s="22">
        <f t="shared" si="40"/>
        <v>0</v>
      </c>
      <c r="U55" s="4"/>
      <c r="V55" s="21">
        <f>35.24</f>
        <v>35.24</v>
      </c>
      <c r="W55" s="5">
        <f>5.31</f>
        <v>5.31</v>
      </c>
      <c r="X55" s="4"/>
      <c r="Y55" s="22">
        <f t="shared" si="41"/>
        <v>40.550000000000004</v>
      </c>
      <c r="Z55" s="21">
        <f>510.87</f>
        <v>510.87</v>
      </c>
      <c r="AA55" s="5">
        <f>15.62</f>
        <v>15.62</v>
      </c>
      <c r="AB55" s="22">
        <f t="shared" si="42"/>
        <v>1926.5699999999997</v>
      </c>
      <c r="AC55" s="21">
        <f>551.19</f>
        <v>551.19000000000005</v>
      </c>
      <c r="AD55" s="4"/>
      <c r="AE55" s="4"/>
      <c r="AF55" s="4"/>
      <c r="AG55" s="4"/>
      <c r="AH55" s="4"/>
      <c r="AI55" s="22">
        <f t="shared" si="43"/>
        <v>551.19000000000005</v>
      </c>
      <c r="AJ55" s="4"/>
      <c r="AK55" s="21">
        <f>103.03</f>
        <v>103.03</v>
      </c>
      <c r="AL55" s="22">
        <f t="shared" si="44"/>
        <v>103.03</v>
      </c>
      <c r="AM55" s="49">
        <f t="shared" si="45"/>
        <v>2580.79</v>
      </c>
    </row>
    <row r="56" spans="1:39" x14ac:dyDescent="0.3">
      <c r="A56" s="3" t="s">
        <v>91</v>
      </c>
      <c r="B56" s="23"/>
      <c r="C56" s="24"/>
      <c r="D56" s="4"/>
      <c r="E56" s="23"/>
      <c r="F56" s="5">
        <f>108</f>
        <v>108</v>
      </c>
      <c r="G56" s="22">
        <f t="shared" si="37"/>
        <v>108</v>
      </c>
      <c r="H56" s="4"/>
      <c r="I56" s="21">
        <f>13.98</f>
        <v>13.98</v>
      </c>
      <c r="J56" s="4"/>
      <c r="K56" s="4"/>
      <c r="L56" s="4"/>
      <c r="M56" s="22">
        <f t="shared" si="38"/>
        <v>13.98</v>
      </c>
      <c r="N56" s="4"/>
      <c r="O56" s="23"/>
      <c r="P56" s="22">
        <f t="shared" si="39"/>
        <v>0</v>
      </c>
      <c r="Q56" s="4"/>
      <c r="R56" s="23"/>
      <c r="S56" s="4"/>
      <c r="T56" s="22">
        <f t="shared" si="40"/>
        <v>0</v>
      </c>
      <c r="U56" s="4"/>
      <c r="V56" s="21">
        <f>13.36</f>
        <v>13.36</v>
      </c>
      <c r="W56" s="5">
        <f>4.08</f>
        <v>4.08</v>
      </c>
      <c r="X56" s="4"/>
      <c r="Y56" s="22">
        <f t="shared" si="41"/>
        <v>17.439999999999998</v>
      </c>
      <c r="Z56" s="23"/>
      <c r="AA56" s="4"/>
      <c r="AB56" s="22">
        <f t="shared" si="42"/>
        <v>139.42000000000002</v>
      </c>
      <c r="AC56" s="21">
        <f>20.3</f>
        <v>20.3</v>
      </c>
      <c r="AD56" s="4"/>
      <c r="AE56" s="5">
        <f>136.92</f>
        <v>136.91999999999999</v>
      </c>
      <c r="AF56" s="4"/>
      <c r="AG56" s="4"/>
      <c r="AH56" s="4"/>
      <c r="AI56" s="22">
        <f t="shared" si="43"/>
        <v>157.22</v>
      </c>
      <c r="AJ56" s="4"/>
      <c r="AK56" s="23"/>
      <c r="AL56" s="22">
        <f t="shared" si="44"/>
        <v>0</v>
      </c>
      <c r="AM56" s="49">
        <f t="shared" si="45"/>
        <v>296.64</v>
      </c>
    </row>
    <row r="57" spans="1:39" x14ac:dyDescent="0.3">
      <c r="A57" s="3" t="s">
        <v>92</v>
      </c>
      <c r="B57" s="23"/>
      <c r="C57" s="24"/>
      <c r="D57" s="4"/>
      <c r="E57" s="23"/>
      <c r="F57" s="4"/>
      <c r="G57" s="22">
        <f t="shared" si="37"/>
        <v>0</v>
      </c>
      <c r="H57" s="4"/>
      <c r="I57" s="23"/>
      <c r="J57" s="4"/>
      <c r="K57" s="4"/>
      <c r="L57" s="4"/>
      <c r="M57" s="22">
        <f t="shared" si="38"/>
        <v>0</v>
      </c>
      <c r="N57" s="4"/>
      <c r="O57" s="23"/>
      <c r="P57" s="22">
        <f t="shared" si="39"/>
        <v>0</v>
      </c>
      <c r="Q57" s="4"/>
      <c r="R57" s="23"/>
      <c r="S57" s="4"/>
      <c r="T57" s="22">
        <f t="shared" si="40"/>
        <v>0</v>
      </c>
      <c r="U57" s="4"/>
      <c r="V57" s="23"/>
      <c r="W57" s="4"/>
      <c r="X57" s="4"/>
      <c r="Y57" s="22">
        <f t="shared" si="41"/>
        <v>0</v>
      </c>
      <c r="Z57" s="23"/>
      <c r="AA57" s="4"/>
      <c r="AB57" s="22">
        <f t="shared" si="42"/>
        <v>0</v>
      </c>
      <c r="AC57" s="21">
        <f>0</f>
        <v>0</v>
      </c>
      <c r="AD57" s="4"/>
      <c r="AE57" s="4"/>
      <c r="AF57" s="4"/>
      <c r="AG57" s="4"/>
      <c r="AH57" s="4"/>
      <c r="AI57" s="22">
        <f t="shared" si="43"/>
        <v>0</v>
      </c>
      <c r="AJ57" s="4"/>
      <c r="AK57" s="23"/>
      <c r="AL57" s="22">
        <f t="shared" si="44"/>
        <v>0</v>
      </c>
      <c r="AM57" s="49">
        <f t="shared" si="45"/>
        <v>0</v>
      </c>
    </row>
    <row r="58" spans="1:39" x14ac:dyDescent="0.3">
      <c r="A58" s="3" t="s">
        <v>93</v>
      </c>
      <c r="B58" s="27">
        <f>((((((((((((((((((((((((((B31)+(B32))+(B33))+(B34))+(B35))+(B36))+(B37))+(B38))+(B39))+(B40))+(B41))+(B42))+(B43))+(B44))+(B45))+(B46))+(B47))+(B48))+(B49))+(B50))+(B51))+(B52))+(B53))+(B54))+(B55))+(B56))+(B57)</f>
        <v>0</v>
      </c>
      <c r="C58" s="28">
        <f>((((((((((((((((((((((((((C31)+(C32))+(C33))+(C34))+(C35))+(C36))+(C37))+(C38))+(C39))+(C40))+(C41))+(C42))+(C43))+(C44))+(C45))+(C46))+(C47))+(C48))+(C49))+(C50))+(C51))+(C52))+(C53))+(C54))+(C55))+(C56))+(C57)</f>
        <v>4379.67</v>
      </c>
      <c r="D58" s="14">
        <f>((((((((((((((((((((((((((D31)+(D32))+(D33))+(D34))+(D35))+(D36))+(D37))+(D38))+(D39))+(D40))+(D41))+(D42))+(D43))+(D44))+(D45))+(D46))+(D47))+(D48))+(D49))+(D50))+(D51))+(D52))+(D53))+(D54))+(D55))+(D56))+(D57)</f>
        <v>0</v>
      </c>
      <c r="E58" s="27">
        <f>((((((((((((((((((((((((((E31)+(E32))+(E33))+(E34))+(E35))+(E36))+(E37))+(E38))+(E39))+(E40))+(E41))+(E42))+(E43))+(E44))+(E45))+(E46))+(E47))+(E48))+(E49))+(E50))+(E51))+(E52))+(E53))+(E54))+(E55))+(E56))+(E57)</f>
        <v>20890.97</v>
      </c>
      <c r="F58" s="14">
        <f>((((((((((((((((((((((((((F31)+(F32))+(F33))+(F34))+(F35))+(F36))+(F37))+(F38))+(F39))+(F40))+(F41))+(F42))+(F43))+(F44))+(F45))+(F46))+(F47))+(F48))+(F49))+(F50))+(F51))+(F52))+(F53))+(F54))+(F55))+(F56))+(F57)</f>
        <v>9485.380000000001</v>
      </c>
      <c r="G58" s="28">
        <f t="shared" si="37"/>
        <v>30376.350000000002</v>
      </c>
      <c r="H58" s="14">
        <f>((((((((((((((((((((((((((H31)+(H32))+(H33))+(H34))+(H35))+(H36))+(H37))+(H38))+(H39))+(H40))+(H41))+(H42))+(H43))+(H44))+(H45))+(H46))+(H47))+(H48))+(H49))+(H50))+(H51))+(H52))+(H53))+(H54))+(H55))+(H56))+(H57)</f>
        <v>0</v>
      </c>
      <c r="I58" s="27">
        <f>((((((((((((((((((((((((((I31)+(I32))+(I33))+(I34))+(I35))+(I36))+(I37))+(I38))+(I39))+(I40))+(I41))+(I42))+(I43))+(I44))+(I45))+(I46))+(I47))+(I48))+(I49))+(I50))+(I51))+(I52))+(I53))+(I54))+(I55))+(I56))+(I57)</f>
        <v>5873.4499999999989</v>
      </c>
      <c r="J58" s="14">
        <f>((((((((((((((((((((((((((J31)+(J32))+(J33))+(J34))+(J35))+(J36))+(J37))+(J38))+(J39))+(J40))+(J41))+(J42))+(J43))+(J44))+(J45))+(J46))+(J47))+(J48))+(J49))+(J50))+(J51))+(J52))+(J53))+(J54))+(J55))+(J56))+(J57)</f>
        <v>502.95999999999992</v>
      </c>
      <c r="K58" s="14">
        <f>((((((((((((((((((((((((((K31)+(K32))+(K33))+(K34))+(K35))+(K36))+(K37))+(K38))+(K39))+(K40))+(K41))+(K42))+(K43))+(K44))+(K45))+(K46))+(K47))+(K48))+(K49))+(K50))+(K51))+(K52))+(K53))+(K54))+(K55))+(K56))+(K57)</f>
        <v>3634.85</v>
      </c>
      <c r="L58" s="14">
        <f>((((((((((((((((((((((((((L31)+(L32))+(L33))+(L34))+(L35))+(L36))+(L37))+(L38))+(L39))+(L40))+(L41))+(L42))+(L43))+(L44))+(L45))+(L46))+(L47))+(L48))+(L49))+(L50))+(L51))+(L52))+(L53))+(L54))+(L55))+(L56))+(L57)</f>
        <v>0</v>
      </c>
      <c r="M58" s="28">
        <f t="shared" si="38"/>
        <v>10011.259999999998</v>
      </c>
      <c r="N58" s="14">
        <f>((((((((((((((((((((((((((N31)+(N32))+(N33))+(N34))+(N35))+(N36))+(N37))+(N38))+(N39))+(N40))+(N41))+(N42))+(N43))+(N44))+(N45))+(N46))+(N47))+(N48))+(N49))+(N50))+(N51))+(N52))+(N53))+(N54))+(N55))+(N56))+(N57)</f>
        <v>0</v>
      </c>
      <c r="O58" s="27">
        <f>((((((((((((((((((((((((((O31)+(O32))+(O33))+(O34))+(O35))+(O36))+(O37))+(O38))+(O39))+(O40))+(O41))+(O42))+(O43))+(O44))+(O45))+(O46))+(O47))+(O48))+(O49))+(O50))+(O51))+(O52))+(O53))+(O54))+(O55))+(O56))+(O57)</f>
        <v>0</v>
      </c>
      <c r="P58" s="28">
        <f t="shared" si="39"/>
        <v>0</v>
      </c>
      <c r="Q58" s="14">
        <f>((((((((((((((((((((((((((Q31)+(Q32))+(Q33))+(Q34))+(Q35))+(Q36))+(Q37))+(Q38))+(Q39))+(Q40))+(Q41))+(Q42))+(Q43))+(Q44))+(Q45))+(Q46))+(Q47))+(Q48))+(Q49))+(Q50))+(Q51))+(Q52))+(Q53))+(Q54))+(Q55))+(Q56))+(Q57)</f>
        <v>0</v>
      </c>
      <c r="R58" s="27">
        <f>((((((((((((((((((((((((((R31)+(R32))+(R33))+(R34))+(R35))+(R36))+(R37))+(R38))+(R39))+(R40))+(R41))+(R42))+(R43))+(R44))+(R45))+(R46))+(R47))+(R48))+(R49))+(R50))+(R51))+(R52))+(R53))+(R54))+(R55))+(R56))+(R57)</f>
        <v>640</v>
      </c>
      <c r="S58" s="14">
        <f>((((((((((((((((((((((((((S31)+(S32))+(S33))+(S34))+(S35))+(S36))+(S37))+(S38))+(S39))+(S40))+(S41))+(S42))+(S43))+(S44))+(S45))+(S46))+(S47))+(S48))+(S49))+(S50))+(S51))+(S52))+(S53))+(S54))+(S55))+(S56))+(S57)</f>
        <v>0</v>
      </c>
      <c r="T58" s="28">
        <f t="shared" si="40"/>
        <v>640</v>
      </c>
      <c r="U58" s="14">
        <f>((((((((((((((((((((((((((U31)+(U32))+(U33))+(U34))+(U35))+(U36))+(U37))+(U38))+(U39))+(U40))+(U41))+(U42))+(U43))+(U44))+(U45))+(U46))+(U47))+(U48))+(U49))+(U50))+(U51))+(U52))+(U53))+(U54))+(U55))+(U56))+(U57)</f>
        <v>0</v>
      </c>
      <c r="V58" s="27">
        <f>((((((((((((((((((((((((((V31)+(V32))+(V33))+(V34))+(V35))+(V36))+(V37))+(V38))+(V39))+(V40))+(V41))+(V42))+(V43))+(V44))+(V45))+(V46))+(V47))+(V48))+(V49))+(V50))+(V51))+(V52))+(V53))+(V54))+(V55))+(V56))+(V57)</f>
        <v>5561.4</v>
      </c>
      <c r="W58" s="14">
        <f>((((((((((((((((((((((((((W31)+(W32))+(W33))+(W34))+(W35))+(W36))+(W37))+(W38))+(W39))+(W40))+(W41))+(W42))+(W43))+(W44))+(W45))+(W46))+(W47))+(W48))+(W49))+(W50))+(W51))+(W52))+(W53))+(W54))+(W55))+(W56))+(W57)</f>
        <v>734.53000000000009</v>
      </c>
      <c r="X58" s="14">
        <f>((((((((((((((((((((((((((X31)+(X32))+(X33))+(X34))+(X35))+(X36))+(X37))+(X38))+(X39))+(X40))+(X41))+(X42))+(X43))+(X44))+(X45))+(X46))+(X47))+(X48))+(X49))+(X50))+(X51))+(X52))+(X53))+(X54))+(X55))+(X56))+(X57)</f>
        <v>1311</v>
      </c>
      <c r="Y58" s="28">
        <f t="shared" si="41"/>
        <v>7606.9299999999994</v>
      </c>
      <c r="Z58" s="27">
        <f>((((((((((((((((((((((((((Z31)+(Z32))+(Z33))+(Z34))+(Z35))+(Z36))+(Z37))+(Z38))+(Z39))+(Z40))+(Z41))+(Z42))+(Z43))+(Z44))+(Z45))+(Z46))+(Z47))+(Z48))+(Z49))+(Z50))+(Z51))+(Z52))+(Z53))+(Z54))+(Z55))+(Z56))+(Z57)</f>
        <v>21776.269999999993</v>
      </c>
      <c r="AA58" s="14">
        <f>((((((((((((((((((((((((((AA31)+(AA32))+(AA33))+(AA34))+(AA35))+(AA36))+(AA37))+(AA38))+(AA39))+(AA40))+(AA41))+(AA42))+(AA43))+(AA44))+(AA45))+(AA46))+(AA47))+(AA48))+(AA49))+(AA50))+(AA51))+(AA52))+(AA53))+(AA54))+(AA55))+(AA56))+(AA57)</f>
        <v>778.8900000000001</v>
      </c>
      <c r="AB58" s="28">
        <f t="shared" si="42"/>
        <v>75569.37</v>
      </c>
      <c r="AC58" s="27">
        <f t="shared" ref="AC58:AH58" si="46">((((((((((((((((((((((((((AC31)+(AC32))+(AC33))+(AC34))+(AC35))+(AC36))+(AC37))+(AC38))+(AC39))+(AC40))+(AC41))+(AC42))+(AC43))+(AC44))+(AC45))+(AC46))+(AC47))+(AC48))+(AC49))+(AC50))+(AC51))+(AC52))+(AC53))+(AC54))+(AC55))+(AC56))+(AC57)</f>
        <v>3914.4999999999995</v>
      </c>
      <c r="AD58" s="14">
        <f t="shared" si="46"/>
        <v>3001.97</v>
      </c>
      <c r="AE58" s="14">
        <f t="shared" si="46"/>
        <v>340.1</v>
      </c>
      <c r="AF58" s="14">
        <f t="shared" si="46"/>
        <v>102.62</v>
      </c>
      <c r="AG58" s="14">
        <f t="shared" si="46"/>
        <v>0</v>
      </c>
      <c r="AH58" s="14">
        <f t="shared" si="46"/>
        <v>28.51</v>
      </c>
      <c r="AI58" s="28">
        <f>(((((AC58)+(AD58))+(AE58))+(AF58))+(AG58))+(AH58)</f>
        <v>7387.7</v>
      </c>
      <c r="AJ58" s="14">
        <f>((((((((((((((((((((((((((AJ31)+(AJ32))+(AJ33))+(AJ34))+(AJ35))+(AJ36))+(AJ37))+(AJ38))+(AJ39))+(AJ40))+(AJ41))+(AJ42))+(AJ43))+(AJ44))+(AJ45))+(AJ46))+(AJ47))+(AJ48))+(AJ49))+(AJ50))+(AJ51))+(AJ52))+(AJ53))+(AJ54))+(AJ55))+(AJ56))+(AJ57)</f>
        <v>0</v>
      </c>
      <c r="AK58" s="27">
        <f>((((((((((((((((((((((((((AK31)+(AK32))+(AK33))+(AK34))+(AK35))+(AK36))+(AK37))+(AK38))+(AK39))+(AK40))+(AK41))+(AK42))+(AK43))+(AK44))+(AK45))+(AK46))+(AK47))+(AK48))+(AK49))+(AK50))+(AK51))+(AK52))+(AK53))+(AK54))+(AK55))+(AK56))+(AK57)</f>
        <v>127.03</v>
      </c>
      <c r="AL58" s="28">
        <f t="shared" si="44"/>
        <v>127.03</v>
      </c>
      <c r="AM58" s="52">
        <f>((AB58)+(AI58))+(AL58)</f>
        <v>83084.099999999991</v>
      </c>
    </row>
    <row r="59" spans="1:39" x14ac:dyDescent="0.3">
      <c r="A59" s="3" t="s">
        <v>94</v>
      </c>
      <c r="B59" s="27">
        <f>(B29)-(B58)</f>
        <v>3345</v>
      </c>
      <c r="C59" s="28">
        <f>(C29)-(C58)</f>
        <v>7365.33</v>
      </c>
      <c r="D59" s="14">
        <f>(D29)-(D58)</f>
        <v>0</v>
      </c>
      <c r="E59" s="27">
        <f>(E29)-(E58)</f>
        <v>-200</v>
      </c>
      <c r="F59" s="14">
        <f>(F29)-(F58)</f>
        <v>0</v>
      </c>
      <c r="G59" s="28">
        <f t="shared" si="37"/>
        <v>-200</v>
      </c>
      <c r="H59" s="14">
        <f>(H29)-(H58)</f>
        <v>0</v>
      </c>
      <c r="I59" s="27">
        <f>(I29)-(I58)</f>
        <v>0</v>
      </c>
      <c r="J59" s="14">
        <f>(J29)-(J58)</f>
        <v>0</v>
      </c>
      <c r="K59" s="14">
        <f>(K29)-(K58)</f>
        <v>0</v>
      </c>
      <c r="L59" s="14">
        <f>(L29)-(L58)</f>
        <v>1470</v>
      </c>
      <c r="M59" s="28">
        <f t="shared" si="38"/>
        <v>1470</v>
      </c>
      <c r="N59" s="14">
        <f>(N29)-(N58)</f>
        <v>0</v>
      </c>
      <c r="O59" s="27">
        <f>(O29)-(O58)</f>
        <v>0</v>
      </c>
      <c r="P59" s="28">
        <f t="shared" si="39"/>
        <v>0</v>
      </c>
      <c r="Q59" s="14">
        <f>(Q29)-(Q58)</f>
        <v>0</v>
      </c>
      <c r="R59" s="27">
        <f>(R29)-(R58)</f>
        <v>0</v>
      </c>
      <c r="S59" s="14">
        <f>(S29)-(S58)</f>
        <v>0</v>
      </c>
      <c r="T59" s="28">
        <f t="shared" si="40"/>
        <v>0</v>
      </c>
      <c r="U59" s="14">
        <f>(U29)-(U58)</f>
        <v>0</v>
      </c>
      <c r="V59" s="27">
        <f>(V29)-(V58)</f>
        <v>1355.0400000000009</v>
      </c>
      <c r="W59" s="14">
        <f>(W29)-(W58)</f>
        <v>0</v>
      </c>
      <c r="X59" s="14">
        <f>(X29)-(X58)</f>
        <v>0</v>
      </c>
      <c r="Y59" s="28">
        <f t="shared" si="41"/>
        <v>1355.0400000000009</v>
      </c>
      <c r="Z59" s="27">
        <f>(Z29)-(Z58)</f>
        <v>0</v>
      </c>
      <c r="AA59" s="14">
        <f>(AA29)-(AA58)</f>
        <v>0</v>
      </c>
      <c r="AB59" s="28">
        <f t="shared" si="42"/>
        <v>13335.37</v>
      </c>
      <c r="AC59" s="27">
        <f t="shared" ref="AC59:AH59" si="47">(AC29)-(AC58)</f>
        <v>-3456.9299999999994</v>
      </c>
      <c r="AD59" s="14">
        <f t="shared" si="47"/>
        <v>5480.0300000000007</v>
      </c>
      <c r="AE59" s="14">
        <f t="shared" si="47"/>
        <v>9708.9</v>
      </c>
      <c r="AF59" s="14">
        <f t="shared" si="47"/>
        <v>2143.9400000000005</v>
      </c>
      <c r="AG59" s="14">
        <f t="shared" si="47"/>
        <v>100</v>
      </c>
      <c r="AH59" s="14">
        <f t="shared" si="47"/>
        <v>571.49</v>
      </c>
      <c r="AI59" s="28">
        <f t="shared" si="43"/>
        <v>14547.43</v>
      </c>
      <c r="AJ59" s="14">
        <f>(AJ29)-(AJ58)</f>
        <v>0</v>
      </c>
      <c r="AK59" s="27">
        <f>(AK29)-(AK58)</f>
        <v>1315.72</v>
      </c>
      <c r="AL59" s="28">
        <f t="shared" si="44"/>
        <v>1315.72</v>
      </c>
      <c r="AM59" s="52">
        <f t="shared" si="45"/>
        <v>29198.520000000004</v>
      </c>
    </row>
    <row r="60" spans="1:39" ht="15" thickBot="1" x14ac:dyDescent="0.35">
      <c r="A60" s="3" t="s">
        <v>95</v>
      </c>
      <c r="B60" s="29">
        <f>(B59)+(0)</f>
        <v>3345</v>
      </c>
      <c r="C60" s="30">
        <f>(C59)+(0)</f>
        <v>7365.33</v>
      </c>
      <c r="D60" s="14">
        <f>(D59)+(0)</f>
        <v>0</v>
      </c>
      <c r="E60" s="29">
        <f>(E59)+(0)</f>
        <v>-200</v>
      </c>
      <c r="F60" s="34">
        <f>(F59)+(0)</f>
        <v>0</v>
      </c>
      <c r="G60" s="30">
        <f t="shared" si="37"/>
        <v>-200</v>
      </c>
      <c r="H60" s="14">
        <f>(H59)+(0)</f>
        <v>0</v>
      </c>
      <c r="I60" s="29">
        <f>(I59)+(0)</f>
        <v>0</v>
      </c>
      <c r="J60" s="34">
        <f>(J59)+(0)</f>
        <v>0</v>
      </c>
      <c r="K60" s="34">
        <f>(K59)+(0)</f>
        <v>0</v>
      </c>
      <c r="L60" s="34">
        <f>(L59)+(0)</f>
        <v>1470</v>
      </c>
      <c r="M60" s="30">
        <f t="shared" si="38"/>
        <v>1470</v>
      </c>
      <c r="N60" s="14">
        <f>(N59)+(0)</f>
        <v>0</v>
      </c>
      <c r="O60" s="29">
        <f>(O59)+(0)</f>
        <v>0</v>
      </c>
      <c r="P60" s="30">
        <f t="shared" si="39"/>
        <v>0</v>
      </c>
      <c r="Q60" s="14">
        <f>(Q59)+(0)</f>
        <v>0</v>
      </c>
      <c r="R60" s="29">
        <f>(R59)+(0)</f>
        <v>0</v>
      </c>
      <c r="S60" s="34">
        <f>(S59)+(0)</f>
        <v>0</v>
      </c>
      <c r="T60" s="30">
        <f t="shared" si="40"/>
        <v>0</v>
      </c>
      <c r="U60" s="14">
        <f>(U59)+(0)</f>
        <v>0</v>
      </c>
      <c r="V60" s="29">
        <f>(V59)+(0)</f>
        <v>1355.0400000000009</v>
      </c>
      <c r="W60" s="34">
        <f>(W59)+(0)</f>
        <v>0</v>
      </c>
      <c r="X60" s="34">
        <f>(X59)+(0)</f>
        <v>0</v>
      </c>
      <c r="Y60" s="30">
        <f t="shared" si="41"/>
        <v>1355.0400000000009</v>
      </c>
      <c r="Z60" s="29">
        <f>(Z59)+(0)</f>
        <v>0</v>
      </c>
      <c r="AA60" s="34">
        <f>(AA59)+(0)</f>
        <v>0</v>
      </c>
      <c r="AB60" s="30">
        <f t="shared" si="42"/>
        <v>13335.37</v>
      </c>
      <c r="AC60" s="29">
        <f t="shared" ref="AC60:AH60" si="48">(AC59)+(0)</f>
        <v>-3456.9299999999994</v>
      </c>
      <c r="AD60" s="34">
        <f t="shared" si="48"/>
        <v>5480.0300000000007</v>
      </c>
      <c r="AE60" s="34">
        <f t="shared" si="48"/>
        <v>9708.9</v>
      </c>
      <c r="AF60" s="34">
        <f t="shared" si="48"/>
        <v>2143.9400000000005</v>
      </c>
      <c r="AG60" s="34">
        <f t="shared" si="48"/>
        <v>100</v>
      </c>
      <c r="AH60" s="34">
        <f t="shared" si="48"/>
        <v>571.49</v>
      </c>
      <c r="AI60" s="30">
        <f>(((((AC60)+(AD60))+(AE60))+(AF60))+(AG60))+(AH60)</f>
        <v>14547.43</v>
      </c>
      <c r="AJ60" s="14">
        <f>(AJ59)+(0)</f>
        <v>0</v>
      </c>
      <c r="AK60" s="29">
        <f>(AK59)+(0)</f>
        <v>1315.72</v>
      </c>
      <c r="AL60" s="30">
        <f t="shared" si="44"/>
        <v>1315.72</v>
      </c>
      <c r="AM60" s="53">
        <f t="shared" si="45"/>
        <v>29198.520000000004</v>
      </c>
    </row>
    <row r="61" spans="1:39" x14ac:dyDescent="0.3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x14ac:dyDescent="0.3">
      <c r="AH62" t="s">
        <v>96</v>
      </c>
      <c r="AI62" s="15">
        <f>+AI60+AL60</f>
        <v>15863.15</v>
      </c>
      <c r="AM62" s="13"/>
    </row>
    <row r="63" spans="1:39" x14ac:dyDescent="0.3">
      <c r="AH63" t="s">
        <v>97</v>
      </c>
      <c r="AI63" s="15">
        <f>+AB60</f>
        <v>13335.37</v>
      </c>
      <c r="AM63" s="54"/>
    </row>
    <row r="64" spans="1:39" x14ac:dyDescent="0.3">
      <c r="A64" s="60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</row>
    <row r="65" spans="34:35" x14ac:dyDescent="0.3">
      <c r="AH65" s="16" t="s">
        <v>98</v>
      </c>
      <c r="AI65" s="15">
        <f>+AI62+AI63</f>
        <v>29198.52</v>
      </c>
    </row>
  </sheetData>
  <mergeCells count="11">
    <mergeCell ref="A64:AM64"/>
    <mergeCell ref="A1:AM1"/>
    <mergeCell ref="A2:AM2"/>
    <mergeCell ref="A3:AM3"/>
    <mergeCell ref="E4:G4"/>
    <mergeCell ref="I4:M4"/>
    <mergeCell ref="O4:P4"/>
    <mergeCell ref="R4:T4"/>
    <mergeCell ref="V4:Y4"/>
    <mergeCell ref="AC4:AI4"/>
    <mergeCell ref="B4:C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948D37AD5A514A9B66563DEF3FB9EE" ma:contentTypeVersion="13" ma:contentTypeDescription="Create a new document." ma:contentTypeScope="" ma:versionID="3d1c8e60ce04c1ab0c0d825b8054b064">
  <xsd:schema xmlns:xsd="http://www.w3.org/2001/XMLSchema" xmlns:xs="http://www.w3.org/2001/XMLSchema" xmlns:p="http://schemas.microsoft.com/office/2006/metadata/properties" xmlns:ns2="ef5b171a-58a6-402a-80e6-be265bcb6fcd" xmlns:ns3="dd5cc491-a3c3-43e7-87af-b19e303b54c4" targetNamespace="http://schemas.microsoft.com/office/2006/metadata/properties" ma:root="true" ma:fieldsID="9b0a9fe93e773457e394fe9195be8484" ns2:_="" ns3:_="">
    <xsd:import namespace="ef5b171a-58a6-402a-80e6-be265bcb6fcd"/>
    <xsd:import namespace="dd5cc491-a3c3-43e7-87af-b19e303b54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b171a-58a6-402a-80e6-be265bcb6f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61a4724-ef34-459b-84aa-42b9ac14fc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cc491-a3c3-43e7-87af-b19e303b54c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ac4ec36-75fe-4ea5-8507-170cacb7beae}" ma:internalName="TaxCatchAll" ma:showField="CatchAllData" ma:web="dd5cc491-a3c3-43e7-87af-b19e303b54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5b171a-58a6-402a-80e6-be265bcb6fcd">
      <Terms xmlns="http://schemas.microsoft.com/office/infopath/2007/PartnerControls"/>
    </lcf76f155ced4ddcb4097134ff3c332f>
    <TaxCatchAll xmlns="dd5cc491-a3c3-43e7-87af-b19e303b54c4" xsi:nil="true"/>
  </documentManagement>
</p:properties>
</file>

<file path=customXml/itemProps1.xml><?xml version="1.0" encoding="utf-8"?>
<ds:datastoreItem xmlns:ds="http://schemas.openxmlformats.org/officeDocument/2006/customXml" ds:itemID="{B86FF14C-73A2-4AC6-8D1C-C8BF8945F4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5b171a-58a6-402a-80e6-be265bcb6fcd"/>
    <ds:schemaRef ds:uri="dd5cc491-a3c3-43e7-87af-b19e303b54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ACFA54-25DC-44F5-B839-1B5EAE4520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379741-0764-4895-81EA-D49DB8F0AFA9}">
  <ds:schemaRefs>
    <ds:schemaRef ds:uri="http://schemas.microsoft.com/office/2006/metadata/properties"/>
    <ds:schemaRef ds:uri="http://schemas.microsoft.com/office/infopath/2007/PartnerControls"/>
    <ds:schemaRef ds:uri="ef5b171a-58a6-402a-80e6-be265bcb6fcd"/>
    <ds:schemaRef ds:uri="dd5cc491-a3c3-43e7-87af-b19e303b54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Activities by Class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Gemma Wright</cp:lastModifiedBy>
  <cp:revision/>
  <dcterms:created xsi:type="dcterms:W3CDTF">2023-12-11T13:54:10Z</dcterms:created>
  <dcterms:modified xsi:type="dcterms:W3CDTF">2024-08-07T09:43:19Z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0x0101000B948D37AD5A514A9B66563DEF3FB9EE</vt:lpwstr>
  </property>
  <property fmtid="{D5CDD505-2E9C-101B-9397-08002B2CF9AE}" pid="3" name="MediaServiceImageTags">
    <vt:lpwstr/>
  </property>
</Properties>
</file>